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kitty\Downloads\"/>
    </mc:Choice>
  </mc:AlternateContent>
  <xr:revisionPtr revIDLastSave="0" documentId="8_{E5CA854F-F4CC-4CA8-84A7-22447B04F956}" xr6:coauthVersionLast="47" xr6:coauthVersionMax="47" xr10:uidLastSave="{00000000-0000-0000-0000-000000000000}"/>
  <bookViews>
    <workbookView xWindow="-120" yWindow="-120" windowWidth="29040" windowHeight="15720" xr2:uid="{00000000-000D-0000-FFFF-FFFF00000000}"/>
  </bookViews>
  <sheets>
    <sheet name="info" sheetId="12" r:id="rId1"/>
    <sheet name="berekening" sheetId="17" r:id="rId2"/>
    <sheet name="tab" sheetId="2" r:id="rId3"/>
    <sheet name="ww uitkering" sheetId="16" r:id="rId4"/>
    <sheet name="bovenw.uitkeringen" sheetId="15" r:id="rId5"/>
  </sheets>
  <definedNames>
    <definedName name="_ftn1" localSheetId="0">info!$C$21</definedName>
    <definedName name="_ftnref1" localSheetId="0">info!$C$16</definedName>
    <definedName name="_xlnm.Print_Area" localSheetId="1">berekening!$B$2:$CF$44</definedName>
    <definedName name="_xlnm.Print_Area" localSheetId="0">info!$B$2:$O$38</definedName>
    <definedName name="_xlnm.Print_Area" localSheetId="2">tab!$A$2:$K$21</definedName>
    <definedName name="saltab2019">tab!#REF!</definedName>
    <definedName name="saltab2020">tab!#REF!</definedName>
    <definedName name="saltab2021">tab!#REF!</definedName>
    <definedName name="saltabsept2018">tab!#REF!</definedName>
    <definedName name="Schaal">tab!#REF!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11" i="17" l="1"/>
  <c r="AT12" i="17"/>
  <c r="AT13" i="17"/>
  <c r="AT14" i="17"/>
  <c r="AT15" i="17"/>
  <c r="AT16" i="17"/>
  <c r="AT17" i="17"/>
  <c r="AT18" i="17"/>
  <c r="AT19" i="17"/>
  <c r="AT20" i="17"/>
  <c r="AT21" i="17"/>
  <c r="AT22" i="17"/>
  <c r="AT23" i="17"/>
  <c r="AT24" i="17"/>
  <c r="AT25" i="17"/>
  <c r="AT26" i="17"/>
  <c r="AT27" i="17"/>
  <c r="AT28" i="17"/>
  <c r="AT29" i="17"/>
  <c r="AT30" i="17"/>
  <c r="AT31" i="17"/>
  <c r="AT32" i="17"/>
  <c r="AT33" i="17"/>
  <c r="AT34" i="17"/>
  <c r="AT35" i="17"/>
  <c r="AT36" i="17"/>
  <c r="AT37" i="17"/>
  <c r="AT38" i="17"/>
  <c r="AT39" i="17"/>
  <c r="AT40" i="17"/>
  <c r="AT41" i="17"/>
  <c r="AT42" i="17"/>
  <c r="C52" i="15" l="1"/>
  <c r="C51" i="15" s="1"/>
  <c r="V3" i="17"/>
  <c r="F13" i="17"/>
  <c r="F12" i="17"/>
  <c r="AT9" i="17" l="1"/>
  <c r="AT10" i="17"/>
  <c r="AT8" i="17"/>
  <c r="F11" i="17"/>
  <c r="AN11" i="17" s="1"/>
  <c r="F10" i="17"/>
  <c r="F9" i="17"/>
  <c r="AN9" i="17" s="1"/>
  <c r="BB42" i="17"/>
  <c r="AM42" i="17"/>
  <c r="AL42" i="17" s="1"/>
  <c r="AG42" i="17"/>
  <c r="AD42" i="17"/>
  <c r="AE42" i="17" s="1"/>
  <c r="T42" i="17"/>
  <c r="R42" i="17"/>
  <c r="P42" i="17"/>
  <c r="Q42" i="17" s="1"/>
  <c r="L42" i="17"/>
  <c r="M42" i="17" s="1"/>
  <c r="G42" i="17"/>
  <c r="F42" i="17"/>
  <c r="BB41" i="17"/>
  <c r="AM41" i="17"/>
  <c r="AL41" i="17" s="1"/>
  <c r="AG41" i="17"/>
  <c r="AD41" i="17"/>
  <c r="AE41" i="17" s="1"/>
  <c r="T41" i="17"/>
  <c r="R41" i="17"/>
  <c r="P41" i="17"/>
  <c r="Q41" i="17" s="1"/>
  <c r="L41" i="17"/>
  <c r="M41" i="17" s="1"/>
  <c r="G41" i="17"/>
  <c r="F41" i="17"/>
  <c r="BB40" i="17"/>
  <c r="AM40" i="17"/>
  <c r="AL40" i="17" s="1"/>
  <c r="AG40" i="17"/>
  <c r="AD40" i="17"/>
  <c r="AE40" i="17" s="1"/>
  <c r="T40" i="17"/>
  <c r="R40" i="17"/>
  <c r="P40" i="17"/>
  <c r="Q40" i="17" s="1"/>
  <c r="L40" i="17"/>
  <c r="M40" i="17" s="1"/>
  <c r="O40" i="17" s="1"/>
  <c r="G40" i="17"/>
  <c r="F40" i="17"/>
  <c r="BB39" i="17"/>
  <c r="AM39" i="17"/>
  <c r="AL39" i="17" s="1"/>
  <c r="AG39" i="17"/>
  <c r="AD39" i="17"/>
  <c r="AE39" i="17" s="1"/>
  <c r="T39" i="17"/>
  <c r="R39" i="17"/>
  <c r="P39" i="17"/>
  <c r="Q39" i="17" s="1"/>
  <c r="L39" i="17"/>
  <c r="M39" i="17" s="1"/>
  <c r="G39" i="17"/>
  <c r="F39" i="17"/>
  <c r="BB38" i="17"/>
  <c r="AM38" i="17"/>
  <c r="AL38" i="17" s="1"/>
  <c r="AG38" i="17"/>
  <c r="AD38" i="17"/>
  <c r="AE38" i="17" s="1"/>
  <c r="T38" i="17"/>
  <c r="R38" i="17"/>
  <c r="P38" i="17"/>
  <c r="Q38" i="17" s="1"/>
  <c r="L38" i="17"/>
  <c r="M38" i="17" s="1"/>
  <c r="G38" i="17"/>
  <c r="F38" i="17"/>
  <c r="BB37" i="17"/>
  <c r="AM37" i="17"/>
  <c r="AL37" i="17" s="1"/>
  <c r="AG37" i="17"/>
  <c r="AD37" i="17"/>
  <c r="AE37" i="17" s="1"/>
  <c r="T37" i="17"/>
  <c r="R37" i="17"/>
  <c r="P37" i="17"/>
  <c r="L37" i="17"/>
  <c r="M37" i="17" s="1"/>
  <c r="O37" i="17" s="1"/>
  <c r="G37" i="17"/>
  <c r="F37" i="17"/>
  <c r="BB36" i="17"/>
  <c r="AM36" i="17"/>
  <c r="AL36" i="17" s="1"/>
  <c r="AG36" i="17"/>
  <c r="AD36" i="17"/>
  <c r="AE36" i="17" s="1"/>
  <c r="T36" i="17"/>
  <c r="R36" i="17"/>
  <c r="P36" i="17"/>
  <c r="L36" i="17"/>
  <c r="M36" i="17" s="1"/>
  <c r="N36" i="17" s="1"/>
  <c r="G36" i="17"/>
  <c r="F36" i="17"/>
  <c r="BB35" i="17"/>
  <c r="AM35" i="17"/>
  <c r="AL35" i="17" s="1"/>
  <c r="AG35" i="17"/>
  <c r="AD35" i="17"/>
  <c r="AE35" i="17" s="1"/>
  <c r="T35" i="17"/>
  <c r="R35" i="17"/>
  <c r="P35" i="17"/>
  <c r="Q35" i="17" s="1"/>
  <c r="L35" i="17"/>
  <c r="M35" i="17" s="1"/>
  <c r="G35" i="17"/>
  <c r="F35" i="17"/>
  <c r="BB34" i="17"/>
  <c r="AM34" i="17"/>
  <c r="AL34" i="17" s="1"/>
  <c r="AG34" i="17"/>
  <c r="AD34" i="17"/>
  <c r="AE34" i="17" s="1"/>
  <c r="T34" i="17"/>
  <c r="R34" i="17"/>
  <c r="P34" i="17"/>
  <c r="L34" i="17"/>
  <c r="M34" i="17" s="1"/>
  <c r="G34" i="17"/>
  <c r="F34" i="17"/>
  <c r="BB33" i="17"/>
  <c r="AM33" i="17"/>
  <c r="AL33" i="17" s="1"/>
  <c r="AG33" i="17"/>
  <c r="AD33" i="17"/>
  <c r="AE33" i="17" s="1"/>
  <c r="AF33" i="17" s="1"/>
  <c r="T33" i="17"/>
  <c r="R33" i="17"/>
  <c r="P33" i="17"/>
  <c r="L33" i="17"/>
  <c r="M33" i="17" s="1"/>
  <c r="O33" i="17" s="1"/>
  <c r="G33" i="17"/>
  <c r="F33" i="17"/>
  <c r="BB32" i="17"/>
  <c r="AM32" i="17"/>
  <c r="AL32" i="17" s="1"/>
  <c r="AG32" i="17"/>
  <c r="AD32" i="17"/>
  <c r="AE32" i="17" s="1"/>
  <c r="AF32" i="17" s="1"/>
  <c r="T32" i="17"/>
  <c r="R32" i="17"/>
  <c r="P32" i="17"/>
  <c r="L32" i="17"/>
  <c r="M32" i="17" s="1"/>
  <c r="G32" i="17"/>
  <c r="F32" i="17"/>
  <c r="BB31" i="17"/>
  <c r="AM31" i="17"/>
  <c r="AL31" i="17" s="1"/>
  <c r="AG31" i="17"/>
  <c r="AD31" i="17"/>
  <c r="AE31" i="17" s="1"/>
  <c r="T31" i="17"/>
  <c r="R31" i="17"/>
  <c r="P31" i="17"/>
  <c r="L31" i="17"/>
  <c r="M31" i="17" s="1"/>
  <c r="O31" i="17" s="1"/>
  <c r="G31" i="17"/>
  <c r="F31" i="17"/>
  <c r="BB30" i="17"/>
  <c r="AM30" i="17"/>
  <c r="AL30" i="17" s="1"/>
  <c r="AG30" i="17"/>
  <c r="AD30" i="17"/>
  <c r="AE30" i="17" s="1"/>
  <c r="T30" i="17"/>
  <c r="R30" i="17"/>
  <c r="P30" i="17"/>
  <c r="L30" i="17"/>
  <c r="M30" i="17" s="1"/>
  <c r="N30" i="17" s="1"/>
  <c r="G30" i="17"/>
  <c r="F30" i="17"/>
  <c r="BB29" i="17"/>
  <c r="AM29" i="17"/>
  <c r="AL29" i="17" s="1"/>
  <c r="AG29" i="17"/>
  <c r="AD29" i="17"/>
  <c r="AE29" i="17" s="1"/>
  <c r="T29" i="17"/>
  <c r="R29" i="17"/>
  <c r="P29" i="17"/>
  <c r="Q29" i="17" s="1"/>
  <c r="L29" i="17"/>
  <c r="M29" i="17" s="1"/>
  <c r="G29" i="17"/>
  <c r="F29" i="17"/>
  <c r="BB28" i="17"/>
  <c r="AM28" i="17"/>
  <c r="AL28" i="17" s="1"/>
  <c r="AG28" i="17"/>
  <c r="AD28" i="17"/>
  <c r="AE28" i="17" s="1"/>
  <c r="T28" i="17"/>
  <c r="R28" i="17"/>
  <c r="P28" i="17"/>
  <c r="Q28" i="17" s="1"/>
  <c r="L28" i="17"/>
  <c r="M28" i="17" s="1"/>
  <c r="O28" i="17" s="1"/>
  <c r="G28" i="17"/>
  <c r="F28" i="17"/>
  <c r="BB27" i="17"/>
  <c r="AM27" i="17"/>
  <c r="AL27" i="17" s="1"/>
  <c r="AG27" i="17"/>
  <c r="AD27" i="17"/>
  <c r="AE27" i="17" s="1"/>
  <c r="T27" i="17"/>
  <c r="R27" i="17"/>
  <c r="P27" i="17"/>
  <c r="L27" i="17"/>
  <c r="M27" i="17" s="1"/>
  <c r="G27" i="17"/>
  <c r="F27" i="17"/>
  <c r="BB26" i="17"/>
  <c r="AM26" i="17"/>
  <c r="AL26" i="17" s="1"/>
  <c r="AG26" i="17"/>
  <c r="AD26" i="17"/>
  <c r="AE26" i="17" s="1"/>
  <c r="AF26" i="17" s="1"/>
  <c r="T26" i="17"/>
  <c r="R26" i="17"/>
  <c r="P26" i="17"/>
  <c r="L26" i="17"/>
  <c r="M26" i="17" s="1"/>
  <c r="G26" i="17"/>
  <c r="F26" i="17"/>
  <c r="BB25" i="17"/>
  <c r="AM25" i="17"/>
  <c r="AL25" i="17" s="1"/>
  <c r="AG25" i="17"/>
  <c r="AD25" i="17"/>
  <c r="AE25" i="17" s="1"/>
  <c r="T25" i="17"/>
  <c r="R25" i="17"/>
  <c r="P25" i="17"/>
  <c r="Q25" i="17" s="1"/>
  <c r="L25" i="17"/>
  <c r="M25" i="17" s="1"/>
  <c r="O25" i="17" s="1"/>
  <c r="G25" i="17"/>
  <c r="F25" i="17"/>
  <c r="BB24" i="17"/>
  <c r="AM24" i="17"/>
  <c r="AL24" i="17" s="1"/>
  <c r="AG24" i="17"/>
  <c r="AD24" i="17"/>
  <c r="AE24" i="17" s="1"/>
  <c r="T24" i="17"/>
  <c r="R24" i="17"/>
  <c r="P24" i="17"/>
  <c r="L24" i="17"/>
  <c r="M24" i="17" s="1"/>
  <c r="G24" i="17"/>
  <c r="F24" i="17"/>
  <c r="BB23" i="17"/>
  <c r="AM23" i="17"/>
  <c r="AL23" i="17" s="1"/>
  <c r="AG23" i="17"/>
  <c r="AD23" i="17"/>
  <c r="AE23" i="17" s="1"/>
  <c r="T23" i="17"/>
  <c r="R23" i="17"/>
  <c r="P23" i="17"/>
  <c r="Q23" i="17" s="1"/>
  <c r="L23" i="17"/>
  <c r="M23" i="17" s="1"/>
  <c r="O23" i="17" s="1"/>
  <c r="G23" i="17"/>
  <c r="F23" i="17"/>
  <c r="BB22" i="17"/>
  <c r="AM22" i="17"/>
  <c r="AL22" i="17" s="1"/>
  <c r="AG22" i="17"/>
  <c r="AD22" i="17"/>
  <c r="AE22" i="17" s="1"/>
  <c r="T22" i="17"/>
  <c r="R22" i="17"/>
  <c r="P22" i="17"/>
  <c r="L22" i="17"/>
  <c r="M22" i="17" s="1"/>
  <c r="G22" i="17"/>
  <c r="F22" i="17"/>
  <c r="BB21" i="17"/>
  <c r="AM21" i="17"/>
  <c r="AL21" i="17" s="1"/>
  <c r="AG21" i="17"/>
  <c r="AD21" i="17"/>
  <c r="AE21" i="17" s="1"/>
  <c r="T21" i="17"/>
  <c r="R21" i="17"/>
  <c r="P21" i="17"/>
  <c r="L21" i="17"/>
  <c r="M21" i="17" s="1"/>
  <c r="O21" i="17" s="1"/>
  <c r="G21" i="17"/>
  <c r="F21" i="17"/>
  <c r="BB20" i="17"/>
  <c r="AM20" i="17"/>
  <c r="AL20" i="17" s="1"/>
  <c r="AG20" i="17"/>
  <c r="AD20" i="17"/>
  <c r="AE20" i="17" s="1"/>
  <c r="T20" i="17"/>
  <c r="R20" i="17"/>
  <c r="P20" i="17"/>
  <c r="Q20" i="17" s="1"/>
  <c r="L20" i="17"/>
  <c r="M20" i="17" s="1"/>
  <c r="G20" i="17"/>
  <c r="F20" i="17"/>
  <c r="BB19" i="17"/>
  <c r="AM19" i="17"/>
  <c r="AL19" i="17" s="1"/>
  <c r="AG19" i="17"/>
  <c r="AD19" i="17"/>
  <c r="AE19" i="17" s="1"/>
  <c r="T19" i="17"/>
  <c r="R19" i="17"/>
  <c r="P19" i="17"/>
  <c r="Q19" i="17" s="1"/>
  <c r="L19" i="17"/>
  <c r="M19" i="17" s="1"/>
  <c r="G19" i="17"/>
  <c r="F19" i="17"/>
  <c r="BB18" i="17"/>
  <c r="AM18" i="17"/>
  <c r="AL18" i="17" s="1"/>
  <c r="AG18" i="17"/>
  <c r="AD18" i="17"/>
  <c r="AE18" i="17" s="1"/>
  <c r="T18" i="17"/>
  <c r="R18" i="17"/>
  <c r="P18" i="17"/>
  <c r="L18" i="17"/>
  <c r="M18" i="17" s="1"/>
  <c r="O18" i="17" s="1"/>
  <c r="G18" i="17"/>
  <c r="F18" i="17"/>
  <c r="BB17" i="17"/>
  <c r="AM17" i="17"/>
  <c r="AL17" i="17" s="1"/>
  <c r="AG17" i="17"/>
  <c r="AD17" i="17"/>
  <c r="AE17" i="17" s="1"/>
  <c r="T17" i="17"/>
  <c r="R17" i="17"/>
  <c r="P17" i="17"/>
  <c r="L17" i="17"/>
  <c r="M17" i="17" s="1"/>
  <c r="O17" i="17" s="1"/>
  <c r="G17" i="17"/>
  <c r="F17" i="17"/>
  <c r="BB16" i="17"/>
  <c r="AM16" i="17"/>
  <c r="AL16" i="17" s="1"/>
  <c r="AG16" i="17"/>
  <c r="AD16" i="17"/>
  <c r="AE16" i="17" s="1"/>
  <c r="T16" i="17"/>
  <c r="R16" i="17"/>
  <c r="P16" i="17"/>
  <c r="L16" i="17"/>
  <c r="M16" i="17" s="1"/>
  <c r="O16" i="17" s="1"/>
  <c r="G16" i="17"/>
  <c r="F16" i="17"/>
  <c r="BB15" i="17"/>
  <c r="AM15" i="17"/>
  <c r="AL15" i="17" s="1"/>
  <c r="AG15" i="17"/>
  <c r="AD15" i="17"/>
  <c r="AE15" i="17" s="1"/>
  <c r="T15" i="17"/>
  <c r="R15" i="17"/>
  <c r="P15" i="17"/>
  <c r="L15" i="17"/>
  <c r="M15" i="17" s="1"/>
  <c r="G15" i="17"/>
  <c r="F15" i="17"/>
  <c r="BB14" i="17"/>
  <c r="AM14" i="17"/>
  <c r="AL14" i="17" s="1"/>
  <c r="AG14" i="17"/>
  <c r="AD14" i="17"/>
  <c r="AE14" i="17" s="1"/>
  <c r="T14" i="17"/>
  <c r="AU14" i="17" s="1"/>
  <c r="R14" i="17"/>
  <c r="P14" i="17"/>
  <c r="Q14" i="17" s="1"/>
  <c r="L14" i="17"/>
  <c r="M14" i="17" s="1"/>
  <c r="G14" i="17"/>
  <c r="F14" i="17"/>
  <c r="BB13" i="17"/>
  <c r="AM13" i="17"/>
  <c r="AG13" i="17"/>
  <c r="AD13" i="17"/>
  <c r="AE13" i="17" s="1"/>
  <c r="R13" i="17"/>
  <c r="P13" i="17"/>
  <c r="Q13" i="17" s="1"/>
  <c r="L13" i="17"/>
  <c r="M13" i="17" s="1"/>
  <c r="AN13" i="17"/>
  <c r="BB12" i="17"/>
  <c r="AM12" i="17"/>
  <c r="AG12" i="17"/>
  <c r="AD12" i="17"/>
  <c r="AE12" i="17" s="1"/>
  <c r="R12" i="17"/>
  <c r="P12" i="17"/>
  <c r="Q12" i="17" s="1"/>
  <c r="L12" i="17"/>
  <c r="M12" i="17" s="1"/>
  <c r="AN12" i="17"/>
  <c r="BB11" i="17"/>
  <c r="AM11" i="17"/>
  <c r="AG11" i="17"/>
  <c r="AD11" i="17"/>
  <c r="AE11" i="17" s="1"/>
  <c r="AF11" i="17" s="1"/>
  <c r="R11" i="17"/>
  <c r="P11" i="17"/>
  <c r="L11" i="17"/>
  <c r="M11" i="17" s="1"/>
  <c r="BB10" i="17"/>
  <c r="AM10" i="17"/>
  <c r="AG10" i="17"/>
  <c r="AD10" i="17"/>
  <c r="AE10" i="17" s="1"/>
  <c r="R10" i="17"/>
  <c r="P10" i="17"/>
  <c r="Q10" i="17" s="1"/>
  <c r="L10" i="17"/>
  <c r="M10" i="17" s="1"/>
  <c r="BB9" i="17"/>
  <c r="AM9" i="17"/>
  <c r="AG9" i="17"/>
  <c r="AD9" i="17"/>
  <c r="AE9" i="17" s="1"/>
  <c r="R9" i="17"/>
  <c r="P9" i="17"/>
  <c r="Q9" i="17" s="1"/>
  <c r="L9" i="17"/>
  <c r="M9" i="17" s="1"/>
  <c r="BB8" i="17"/>
  <c r="AM8" i="17"/>
  <c r="AG8" i="17"/>
  <c r="AD8" i="17"/>
  <c r="AE8" i="17" s="1"/>
  <c r="R8" i="17"/>
  <c r="P8" i="17"/>
  <c r="Q8" i="17" s="1"/>
  <c r="L8" i="17"/>
  <c r="M8" i="17" s="1"/>
  <c r="F8" i="17"/>
  <c r="S37" i="17" l="1"/>
  <c r="AN24" i="17"/>
  <c r="AN17" i="17"/>
  <c r="AN33" i="17"/>
  <c r="AN22" i="17"/>
  <c r="AN30" i="17"/>
  <c r="AN38" i="17"/>
  <c r="AN41" i="17"/>
  <c r="AN14" i="17"/>
  <c r="AN25" i="17"/>
  <c r="AN16" i="17"/>
  <c r="AN19" i="17"/>
  <c r="AN27" i="17"/>
  <c r="AN35" i="17"/>
  <c r="AN40" i="17"/>
  <c r="AN21" i="17"/>
  <c r="AN29" i="17"/>
  <c r="AN15" i="17"/>
  <c r="AN18" i="17"/>
  <c r="AN26" i="17"/>
  <c r="AN34" i="17"/>
  <c r="AN32" i="17"/>
  <c r="AN31" i="17"/>
  <c r="AN39" i="17"/>
  <c r="AN42" i="17"/>
  <c r="AN37" i="17"/>
  <c r="AN23" i="17"/>
  <c r="AN20" i="17"/>
  <c r="AN28" i="17"/>
  <c r="AN36" i="17"/>
  <c r="S32" i="17"/>
  <c r="S31" i="17"/>
  <c r="S36" i="17"/>
  <c r="S28" i="17"/>
  <c r="AA28" i="17" s="1"/>
  <c r="S33" i="17"/>
  <c r="S15" i="17"/>
  <c r="AL13" i="17"/>
  <c r="AL12" i="17"/>
  <c r="AL11" i="17"/>
  <c r="AN10" i="17"/>
  <c r="AL10" i="17" s="1"/>
  <c r="AL9" i="17"/>
  <c r="AF36" i="17"/>
  <c r="N11" i="17"/>
  <c r="O11" i="17"/>
  <c r="N14" i="17"/>
  <c r="O14" i="17"/>
  <c r="N34" i="17"/>
  <c r="O34" i="17"/>
  <c r="AF37" i="17"/>
  <c r="S18" i="17"/>
  <c r="S35" i="17"/>
  <c r="BF3" i="17"/>
  <c r="BG3" i="17"/>
  <c r="S16" i="17"/>
  <c r="N17" i="17"/>
  <c r="BQ3" i="17"/>
  <c r="BL15" i="17" s="1"/>
  <c r="AU15" i="17"/>
  <c r="AU18" i="17"/>
  <c r="N25" i="17"/>
  <c r="BY3" i="17"/>
  <c r="S41" i="17"/>
  <c r="AA41" i="17" s="1"/>
  <c r="N10" i="17"/>
  <c r="O10" i="17"/>
  <c r="AF22" i="17"/>
  <c r="AF25" i="17"/>
  <c r="O38" i="17"/>
  <c r="N38" i="17"/>
  <c r="N26" i="17"/>
  <c r="O26" i="17"/>
  <c r="N15" i="17"/>
  <c r="O15" i="17"/>
  <c r="AF18" i="17"/>
  <c r="AF40" i="17"/>
  <c r="Q31" i="17"/>
  <c r="Q36" i="17"/>
  <c r="AA36" i="17" s="1"/>
  <c r="N40" i="17"/>
  <c r="N21" i="17"/>
  <c r="S21" i="17"/>
  <c r="Q21" i="17"/>
  <c r="O30" i="17"/>
  <c r="N33" i="17"/>
  <c r="S39" i="17"/>
  <c r="AA39" i="17" s="1"/>
  <c r="S22" i="17"/>
  <c r="S40" i="17"/>
  <c r="AA40" i="17" s="1"/>
  <c r="O13" i="17"/>
  <c r="N13" i="17"/>
  <c r="AF8" i="17"/>
  <c r="N16" i="17"/>
  <c r="O19" i="17"/>
  <c r="N19" i="17"/>
  <c r="AF9" i="17"/>
  <c r="AF14" i="17"/>
  <c r="AF15" i="17"/>
  <c r="S17" i="17"/>
  <c r="Q17" i="17"/>
  <c r="O9" i="17"/>
  <c r="N9" i="17"/>
  <c r="AF12" i="17"/>
  <c r="O8" i="17"/>
  <c r="N8" i="17"/>
  <c r="AF10" i="17"/>
  <c r="O12" i="17"/>
  <c r="N12" i="17"/>
  <c r="AF13" i="17"/>
  <c r="AF19" i="17"/>
  <c r="AN8" i="17"/>
  <c r="AL8" i="17" s="1"/>
  <c r="O22" i="17"/>
  <c r="N22" i="17"/>
  <c r="AU24" i="17"/>
  <c r="AF27" i="17"/>
  <c r="Q11" i="17"/>
  <c r="S14" i="17"/>
  <c r="AA14" i="17" s="1"/>
  <c r="Q15" i="17"/>
  <c r="Q16" i="17"/>
  <c r="AF17" i="17"/>
  <c r="N18" i="17"/>
  <c r="O20" i="17"/>
  <c r="N20" i="17"/>
  <c r="AF21" i="17"/>
  <c r="AF24" i="17"/>
  <c r="AU22" i="17"/>
  <c r="O27" i="17"/>
  <c r="N27" i="17"/>
  <c r="N32" i="17"/>
  <c r="O32" i="17"/>
  <c r="AU16" i="17"/>
  <c r="S20" i="17"/>
  <c r="AA20" i="17" s="1"/>
  <c r="AF16" i="17"/>
  <c r="AF23" i="17"/>
  <c r="O24" i="17"/>
  <c r="N24" i="17"/>
  <c r="AU25" i="17"/>
  <c r="AU38" i="17"/>
  <c r="AU33" i="17"/>
  <c r="AU37" i="17"/>
  <c r="AU27" i="17"/>
  <c r="AU30" i="17"/>
  <c r="AU40" i="17"/>
  <c r="AU26" i="17"/>
  <c r="AU36" i="17"/>
  <c r="AU34" i="17"/>
  <c r="AU21" i="17"/>
  <c r="S24" i="17"/>
  <c r="Q24" i="17"/>
  <c r="AA24" i="17" s="1"/>
  <c r="AU17" i="17"/>
  <c r="S19" i="17"/>
  <c r="AA19" i="17" s="1"/>
  <c r="S23" i="17"/>
  <c r="AA23" i="17" s="1"/>
  <c r="AF28" i="17"/>
  <c r="AF42" i="17"/>
  <c r="S27" i="17"/>
  <c r="Q27" i="17"/>
  <c r="AF30" i="17"/>
  <c r="Q34" i="17"/>
  <c r="S34" i="17"/>
  <c r="AU29" i="17"/>
  <c r="S30" i="17"/>
  <c r="Q30" i="17"/>
  <c r="AA30" i="17" s="1"/>
  <c r="O39" i="17"/>
  <c r="N39" i="17"/>
  <c r="N23" i="17"/>
  <c r="S26" i="17"/>
  <c r="Q26" i="17"/>
  <c r="AA26" i="17" s="1"/>
  <c r="AU28" i="17"/>
  <c r="O35" i="17"/>
  <c r="N35" i="17"/>
  <c r="AF38" i="17"/>
  <c r="Q18" i="17"/>
  <c r="AA18" i="17" s="1"/>
  <c r="AU19" i="17"/>
  <c r="Q22" i="17"/>
  <c r="AU23" i="17"/>
  <c r="AF29" i="17"/>
  <c r="AF34" i="17"/>
  <c r="AF20" i="17"/>
  <c r="AU20" i="17"/>
  <c r="N28" i="17"/>
  <c r="O29" i="17"/>
  <c r="N29" i="17"/>
  <c r="AF31" i="17"/>
  <c r="AF41" i="17"/>
  <c r="S25" i="17"/>
  <c r="AA25" i="17" s="1"/>
  <c r="S29" i="17"/>
  <c r="AA29" i="17" s="1"/>
  <c r="AF39" i="17"/>
  <c r="O41" i="17"/>
  <c r="N41" i="17"/>
  <c r="AU31" i="17"/>
  <c r="Q32" i="17"/>
  <c r="AU32" i="17"/>
  <c r="Q33" i="17"/>
  <c r="N37" i="17"/>
  <c r="O42" i="17"/>
  <c r="N42" i="17"/>
  <c r="AF35" i="17"/>
  <c r="S38" i="17"/>
  <c r="AA38" i="17" s="1"/>
  <c r="AU39" i="17"/>
  <c r="N31" i="17"/>
  <c r="AU35" i="17"/>
  <c r="O36" i="17"/>
  <c r="Q37" i="17"/>
  <c r="S42" i="17"/>
  <c r="AA42" i="17" s="1"/>
  <c r="AU41" i="17"/>
  <c r="AU42" i="17"/>
  <c r="AA31" i="17" l="1"/>
  <c r="AA32" i="17"/>
  <c r="AA15" i="17"/>
  <c r="AA33" i="17"/>
  <c r="AB33" i="17" s="1"/>
  <c r="AA16" i="17"/>
  <c r="AA22" i="17"/>
  <c r="AB22" i="17" s="1"/>
  <c r="AA34" i="17"/>
  <c r="AI34" i="17" s="1"/>
  <c r="AK34" i="17" s="1"/>
  <c r="AA37" i="17"/>
  <c r="AB37" i="17" s="1"/>
  <c r="AA27" i="17"/>
  <c r="AA17" i="17"/>
  <c r="AA21" i="17"/>
  <c r="AI21" i="17" s="1"/>
  <c r="AK21" i="17" s="1"/>
  <c r="AA35" i="17"/>
  <c r="AB35" i="17" s="1"/>
  <c r="V37" i="17"/>
  <c r="V28" i="17"/>
  <c r="BL41" i="17"/>
  <c r="V31" i="17"/>
  <c r="V14" i="17"/>
  <c r="V16" i="17"/>
  <c r="AC28" i="17"/>
  <c r="V33" i="17"/>
  <c r="Y27" i="17"/>
  <c r="V39" i="17"/>
  <c r="V18" i="17"/>
  <c r="AB36" i="17"/>
  <c r="AW36" i="17" s="1"/>
  <c r="Y36" i="17"/>
  <c r="Y21" i="17"/>
  <c r="BL32" i="17"/>
  <c r="AI15" i="17"/>
  <c r="AK15" i="17" s="1"/>
  <c r="Y15" i="17"/>
  <c r="Y19" i="17"/>
  <c r="BL37" i="17"/>
  <c r="AI40" i="17"/>
  <c r="AK40" i="17" s="1"/>
  <c r="Y33" i="17"/>
  <c r="V40" i="17"/>
  <c r="Y24" i="17"/>
  <c r="Y26" i="17"/>
  <c r="Y42" i="17"/>
  <c r="Y34" i="17"/>
  <c r="AC39" i="17"/>
  <c r="AB39" i="17"/>
  <c r="AI39" i="17"/>
  <c r="AK39" i="17" s="1"/>
  <c r="BL29" i="17"/>
  <c r="BL21" i="17"/>
  <c r="BL40" i="17"/>
  <c r="BL42" i="17"/>
  <c r="BL28" i="17"/>
  <c r="BL17" i="17"/>
  <c r="BL22" i="17"/>
  <c r="BL33" i="17"/>
  <c r="V38" i="17"/>
  <c r="BL35" i="17"/>
  <c r="BL39" i="17"/>
  <c r="BL34" i="17"/>
  <c r="BL38" i="17"/>
  <c r="AI41" i="17"/>
  <c r="AK41" i="17" s="1"/>
  <c r="BL27" i="17"/>
  <c r="V36" i="17"/>
  <c r="BL31" i="17"/>
  <c r="AC18" i="17"/>
  <c r="V23" i="17"/>
  <c r="BL16" i="17"/>
  <c r="BL36" i="17"/>
  <c r="V15" i="17"/>
  <c r="BL25" i="17"/>
  <c r="V32" i="17"/>
  <c r="BL23" i="17"/>
  <c r="BL26" i="17"/>
  <c r="BL24" i="17"/>
  <c r="BL20" i="17"/>
  <c r="BL14" i="17"/>
  <c r="BL19" i="17"/>
  <c r="BL18" i="17"/>
  <c r="BL30" i="17"/>
  <c r="Y30" i="17"/>
  <c r="V24" i="17"/>
  <c r="Y22" i="17"/>
  <c r="V21" i="17"/>
  <c r="AI17" i="17"/>
  <c r="AK17" i="17" s="1"/>
  <c r="Y40" i="17"/>
  <c r="AC20" i="17"/>
  <c r="AB20" i="17"/>
  <c r="AC23" i="17"/>
  <c r="AB23" i="17"/>
  <c r="Y39" i="17"/>
  <c r="V42" i="17"/>
  <c r="AC32" i="17"/>
  <c r="AB32" i="17"/>
  <c r="AI32" i="17"/>
  <c r="AK32" i="17" s="1"/>
  <c r="Y29" i="17"/>
  <c r="V27" i="17"/>
  <c r="AI20" i="17"/>
  <c r="AK20" i="17" s="1"/>
  <c r="V19" i="17"/>
  <c r="AI25" i="17"/>
  <c r="AK25" i="17" s="1"/>
  <c r="Y25" i="17"/>
  <c r="AC41" i="17"/>
  <c r="V41" i="17"/>
  <c r="Y31" i="17"/>
  <c r="V34" i="17"/>
  <c r="Y18" i="17"/>
  <c r="V25" i="17"/>
  <c r="V29" i="17"/>
  <c r="AC40" i="17"/>
  <c r="AB40" i="17"/>
  <c r="AI24" i="17"/>
  <c r="AK24" i="17" s="1"/>
  <c r="Y17" i="17"/>
  <c r="V17" i="17"/>
  <c r="Y37" i="17"/>
  <c r="Y28" i="17"/>
  <c r="V26" i="17"/>
  <c r="Y32" i="17"/>
  <c r="Y20" i="17"/>
  <c r="AC16" i="17"/>
  <c r="AB16" i="17"/>
  <c r="AI16" i="17"/>
  <c r="AK16" i="17" s="1"/>
  <c r="AI37" i="17"/>
  <c r="AK37" i="17" s="1"/>
  <c r="V35" i="17"/>
  <c r="Y35" i="17"/>
  <c r="Y41" i="17"/>
  <c r="Y23" i="17"/>
  <c r="AI23" i="17"/>
  <c r="AK23" i="17" s="1"/>
  <c r="AI14" i="17"/>
  <c r="AK14" i="17" s="1"/>
  <c r="Y16" i="17"/>
  <c r="AB41" i="17"/>
  <c r="Y38" i="17"/>
  <c r="AI30" i="17"/>
  <c r="AK30" i="17" s="1"/>
  <c r="V30" i="17"/>
  <c r="V20" i="17"/>
  <c r="Y14" i="17"/>
  <c r="V22" i="17"/>
  <c r="AC33" i="17" l="1"/>
  <c r="AC35" i="17"/>
  <c r="AI35" i="17"/>
  <c r="AK35" i="17" s="1"/>
  <c r="BN37" i="17"/>
  <c r="AW37" i="17"/>
  <c r="AW35" i="17"/>
  <c r="BN35" i="17"/>
  <c r="BN33" i="17"/>
  <c r="AW33" i="17"/>
  <c r="AC37" i="17"/>
  <c r="AJ35" i="17"/>
  <c r="BW35" i="17" s="1"/>
  <c r="AI33" i="17"/>
  <c r="AK33" i="17" s="1"/>
  <c r="AC34" i="17"/>
  <c r="AC36" i="17"/>
  <c r="AJ41" i="17"/>
  <c r="AJ20" i="17"/>
  <c r="AI36" i="17"/>
  <c r="AK36" i="17" s="1"/>
  <c r="AJ33" i="17"/>
  <c r="AJ40" i="17"/>
  <c r="AB28" i="17"/>
  <c r="AJ32" i="17"/>
  <c r="AW22" i="17"/>
  <c r="AB15" i="17"/>
  <c r="AJ15" i="17" s="1"/>
  <c r="AJ16" i="17"/>
  <c r="BN36" i="17"/>
  <c r="AJ37" i="17"/>
  <c r="BN39" i="17"/>
  <c r="AJ39" i="17"/>
  <c r="BW39" i="17" s="1"/>
  <c r="AC15" i="17"/>
  <c r="AJ23" i="17"/>
  <c r="AI28" i="17"/>
  <c r="AK28" i="17" s="1"/>
  <c r="AI22" i="17"/>
  <c r="AK22" i="17" s="1"/>
  <c r="AC31" i="17"/>
  <c r="AB31" i="17"/>
  <c r="AI31" i="17"/>
  <c r="AK31" i="17" s="1"/>
  <c r="AW39" i="17"/>
  <c r="AB34" i="17"/>
  <c r="AC22" i="17"/>
  <c r="BN22" i="17"/>
  <c r="AB18" i="17"/>
  <c r="AC21" i="17"/>
  <c r="AB21" i="17"/>
  <c r="AJ21" i="17" s="1"/>
  <c r="AI18" i="17"/>
  <c r="AK18" i="17" s="1"/>
  <c r="AC17" i="17"/>
  <c r="AB17" i="17"/>
  <c r="AJ17" i="17" s="1"/>
  <c r="AW16" i="17"/>
  <c r="BN16" i="17"/>
  <c r="AC19" i="17"/>
  <c r="AB19" i="17"/>
  <c r="AC38" i="17"/>
  <c r="AB38" i="17"/>
  <c r="AI38" i="17"/>
  <c r="AK38" i="17" s="1"/>
  <c r="AW20" i="17"/>
  <c r="BN20" i="17"/>
  <c r="AC14" i="17"/>
  <c r="AB14" i="17"/>
  <c r="AJ14" i="17" s="1"/>
  <c r="AW40" i="17"/>
  <c r="BN40" i="17"/>
  <c r="AC26" i="17"/>
  <c r="AB26" i="17"/>
  <c r="AC29" i="17"/>
  <c r="AB29" i="17"/>
  <c r="AC27" i="17"/>
  <c r="AB27" i="17"/>
  <c r="AI27" i="17"/>
  <c r="AK27" i="17" s="1"/>
  <c r="AW23" i="17"/>
  <c r="BN23" i="17"/>
  <c r="AW41" i="17"/>
  <c r="BN41" i="17"/>
  <c r="AI29" i="17"/>
  <c r="AK29" i="17" s="1"/>
  <c r="AC30" i="17"/>
  <c r="AB30" i="17"/>
  <c r="AJ30" i="17" s="1"/>
  <c r="AW32" i="17"/>
  <c r="BN32" i="17"/>
  <c r="AC24" i="17"/>
  <c r="AB24" i="17"/>
  <c r="AJ24" i="17" s="1"/>
  <c r="AB42" i="17"/>
  <c r="AC42" i="17"/>
  <c r="AI42" i="17"/>
  <c r="AK42" i="17" s="1"/>
  <c r="BN15" i="17"/>
  <c r="AC25" i="17"/>
  <c r="AB25" i="17"/>
  <c r="AJ25" i="17" s="1"/>
  <c r="AI19" i="17"/>
  <c r="AK19" i="17" s="1"/>
  <c r="AI26" i="17"/>
  <c r="AK26" i="17" s="1"/>
  <c r="D11" i="2"/>
  <c r="AQ35" i="17" l="1"/>
  <c r="BP35" i="17" s="1"/>
  <c r="BQ35" i="17" s="1"/>
  <c r="BR35" i="17" s="1"/>
  <c r="AX35" i="17"/>
  <c r="BO35" i="17"/>
  <c r="AJ36" i="17"/>
  <c r="AQ36" i="17" s="1"/>
  <c r="AP36" i="17" s="1"/>
  <c r="AW15" i="17"/>
  <c r="G13" i="17"/>
  <c r="S13" i="17" s="1"/>
  <c r="AA13" i="17" s="1"/>
  <c r="G12" i="17"/>
  <c r="G11" i="17"/>
  <c r="G9" i="17"/>
  <c r="S9" i="17" s="1"/>
  <c r="AA9" i="17" s="1"/>
  <c r="G8" i="17"/>
  <c r="G10" i="17"/>
  <c r="S10" i="17" s="1"/>
  <c r="AA10" i="17" s="1"/>
  <c r="AJ18" i="17"/>
  <c r="AQ18" i="17" s="1"/>
  <c r="AJ28" i="17"/>
  <c r="AX28" i="17" s="1"/>
  <c r="AJ38" i="17"/>
  <c r="AJ19" i="17"/>
  <c r="AW28" i="17"/>
  <c r="BN28" i="17"/>
  <c r="BN34" i="17"/>
  <c r="AJ34" i="17"/>
  <c r="BO34" i="17" s="1"/>
  <c r="AW34" i="17"/>
  <c r="AJ42" i="17"/>
  <c r="AQ39" i="17"/>
  <c r="AY39" i="17" s="1"/>
  <c r="AJ22" i="17"/>
  <c r="AX22" i="17" s="1"/>
  <c r="AJ27" i="17"/>
  <c r="AJ29" i="17"/>
  <c r="AX39" i="17"/>
  <c r="BO39" i="17"/>
  <c r="AJ26" i="17"/>
  <c r="AJ31" i="17"/>
  <c r="AW31" i="17"/>
  <c r="BN31" i="17"/>
  <c r="BN18" i="17"/>
  <c r="AW18" i="17"/>
  <c r="U26" i="17"/>
  <c r="U16" i="17"/>
  <c r="U19" i="17"/>
  <c r="U38" i="17"/>
  <c r="U40" i="17"/>
  <c r="U41" i="17"/>
  <c r="U15" i="17"/>
  <c r="U17" i="17"/>
  <c r="U25" i="17"/>
  <c r="U30" i="17"/>
  <c r="U21" i="17"/>
  <c r="U27" i="17"/>
  <c r="U33" i="17"/>
  <c r="U32" i="17"/>
  <c r="U37" i="17"/>
  <c r="U14" i="17"/>
  <c r="U36" i="17"/>
  <c r="U18" i="17"/>
  <c r="U29" i="17"/>
  <c r="U42" i="17"/>
  <c r="U35" i="17"/>
  <c r="U39" i="17"/>
  <c r="U20" i="17"/>
  <c r="U31" i="17"/>
  <c r="U23" i="17"/>
  <c r="U34" i="17"/>
  <c r="U24" i="17"/>
  <c r="U22" i="17"/>
  <c r="U28" i="17"/>
  <c r="AW21" i="17"/>
  <c r="BN21" i="17"/>
  <c r="AO11" i="17"/>
  <c r="AO36" i="17"/>
  <c r="AO15" i="17"/>
  <c r="AO26" i="17"/>
  <c r="AO25" i="17"/>
  <c r="AO9" i="17"/>
  <c r="AO10" i="17"/>
  <c r="AO42" i="17"/>
  <c r="AO27" i="17"/>
  <c r="AO29" i="17"/>
  <c r="AO37" i="17"/>
  <c r="AO17" i="17"/>
  <c r="AO28" i="17"/>
  <c r="AO30" i="17"/>
  <c r="AO20" i="17"/>
  <c r="AO22" i="17"/>
  <c r="AO19" i="17"/>
  <c r="AO34" i="17"/>
  <c r="AO8" i="17"/>
  <c r="AO21" i="17"/>
  <c r="AO31" i="17"/>
  <c r="AO41" i="17"/>
  <c r="AO39" i="17"/>
  <c r="AO33" i="17"/>
  <c r="AO24" i="17"/>
  <c r="AO18" i="17"/>
  <c r="AO14" i="17"/>
  <c r="AO12" i="17"/>
  <c r="AO16" i="17"/>
  <c r="AO35" i="17"/>
  <c r="AO32" i="17"/>
  <c r="AO40" i="17"/>
  <c r="AO23" i="17"/>
  <c r="AO13" i="17"/>
  <c r="AO38" i="17"/>
  <c r="AW17" i="17"/>
  <c r="BN17" i="17"/>
  <c r="BN25" i="17"/>
  <c r="AW25" i="17"/>
  <c r="BN24" i="17"/>
  <c r="AW24" i="17"/>
  <c r="AW30" i="17"/>
  <c r="BN30" i="17"/>
  <c r="AW26" i="17"/>
  <c r="BN26" i="17"/>
  <c r="AW19" i="17"/>
  <c r="BN19" i="17"/>
  <c r="AX21" i="17"/>
  <c r="BO21" i="17"/>
  <c r="AQ21" i="17"/>
  <c r="BW21" i="17"/>
  <c r="AX41" i="17"/>
  <c r="BO41" i="17"/>
  <c r="BW41" i="17"/>
  <c r="AQ41" i="17"/>
  <c r="BW17" i="17"/>
  <c r="AQ17" i="17"/>
  <c r="BO17" i="17"/>
  <c r="AX17" i="17"/>
  <c r="BW16" i="17"/>
  <c r="AX16" i="17"/>
  <c r="BO16" i="17"/>
  <c r="AQ16" i="17"/>
  <c r="AX15" i="17"/>
  <c r="BO15" i="17"/>
  <c r="BW15" i="17"/>
  <c r="AQ15" i="17"/>
  <c r="BO23" i="17"/>
  <c r="BW23" i="17"/>
  <c r="AX23" i="17"/>
  <c r="AQ23" i="17"/>
  <c r="AX40" i="17"/>
  <c r="BO40" i="17"/>
  <c r="BW40" i="17"/>
  <c r="AQ40" i="17"/>
  <c r="AX20" i="17"/>
  <c r="BO20" i="17"/>
  <c r="AQ20" i="17"/>
  <c r="BW20" i="17"/>
  <c r="AX32" i="17"/>
  <c r="BO32" i="17"/>
  <c r="AQ32" i="17"/>
  <c r="BW32" i="17"/>
  <c r="AW27" i="17"/>
  <c r="BN27" i="17"/>
  <c r="BN14" i="17"/>
  <c r="AW14" i="17"/>
  <c r="AX33" i="17"/>
  <c r="BO33" i="17"/>
  <c r="BW33" i="17"/>
  <c r="AQ33" i="17"/>
  <c r="AP35" i="17"/>
  <c r="AX37" i="17"/>
  <c r="BO37" i="17"/>
  <c r="BW37" i="17"/>
  <c r="AQ37" i="17"/>
  <c r="BN29" i="17"/>
  <c r="AW29" i="17"/>
  <c r="AW42" i="17"/>
  <c r="BN42" i="17"/>
  <c r="AW38" i="17"/>
  <c r="BN38" i="17"/>
  <c r="AY35" i="17" l="1"/>
  <c r="BX35" i="17"/>
  <c r="BY35" i="17" s="1"/>
  <c r="BZ35" i="17" s="1"/>
  <c r="AP39" i="17"/>
  <c r="AR39" i="17" s="1"/>
  <c r="AS39" i="17" s="1"/>
  <c r="BW36" i="17"/>
  <c r="BX39" i="17"/>
  <c r="BY39" i="17" s="1"/>
  <c r="BZ39" i="17" s="1"/>
  <c r="AX34" i="17"/>
  <c r="BW18" i="17"/>
  <c r="BO36" i="17"/>
  <c r="AX36" i="17"/>
  <c r="AX18" i="17"/>
  <c r="AQ34" i="17"/>
  <c r="BP34" i="17" s="1"/>
  <c r="BQ34" i="17" s="1"/>
  <c r="BR34" i="17" s="1"/>
  <c r="BO18" i="17"/>
  <c r="AQ28" i="17"/>
  <c r="BW28" i="17"/>
  <c r="T9" i="17"/>
  <c r="V9" i="17"/>
  <c r="S11" i="17"/>
  <c r="AA11" i="17" s="1"/>
  <c r="BO28" i="17"/>
  <c r="T10" i="17"/>
  <c r="V10" i="17"/>
  <c r="S12" i="17"/>
  <c r="AA12" i="17" s="1"/>
  <c r="T13" i="17"/>
  <c r="V13" i="17"/>
  <c r="BP39" i="17"/>
  <c r="BQ39" i="17" s="1"/>
  <c r="BR39" i="17" s="1"/>
  <c r="BW34" i="17"/>
  <c r="AR36" i="17"/>
  <c r="AS36" i="17" s="1"/>
  <c r="AQ22" i="17"/>
  <c r="AY22" i="17" s="1"/>
  <c r="AR35" i="17"/>
  <c r="AS35" i="17" s="1"/>
  <c r="BO22" i="17"/>
  <c r="BW22" i="17"/>
  <c r="AY36" i="17"/>
  <c r="BP36" i="17"/>
  <c r="BQ36" i="17" s="1"/>
  <c r="BR36" i="17" s="1"/>
  <c r="BX36" i="17"/>
  <c r="BW31" i="17"/>
  <c r="BO31" i="17"/>
  <c r="AX31" i="17"/>
  <c r="AQ31" i="17"/>
  <c r="W15" i="17"/>
  <c r="X15" i="17" s="1"/>
  <c r="AV15" i="17" s="1"/>
  <c r="W34" i="17"/>
  <c r="X34" i="17" s="1"/>
  <c r="AV34" i="17" s="1"/>
  <c r="W29" i="17"/>
  <c r="X29" i="17" s="1"/>
  <c r="AV29" i="17" s="1"/>
  <c r="W33" i="17"/>
  <c r="X33" i="17" s="1"/>
  <c r="AV33" i="17" s="1"/>
  <c r="S8" i="17"/>
  <c r="AA8" i="17" s="1"/>
  <c r="W23" i="17"/>
  <c r="X23" i="17" s="1"/>
  <c r="AV23" i="17" s="1"/>
  <c r="W18" i="17"/>
  <c r="X18" i="17" s="1"/>
  <c r="AV18" i="17" s="1"/>
  <c r="W41" i="17"/>
  <c r="X41" i="17" s="1"/>
  <c r="AV41" i="17" s="1"/>
  <c r="W31" i="17"/>
  <c r="X31" i="17" s="1"/>
  <c r="AV31" i="17" s="1"/>
  <c r="W27" i="17"/>
  <c r="X27" i="17" s="1"/>
  <c r="AV27" i="17" s="1"/>
  <c r="W40" i="17"/>
  <c r="X40" i="17" s="1"/>
  <c r="AV40" i="17" s="1"/>
  <c r="W32" i="17"/>
  <c r="X32" i="17" s="1"/>
  <c r="AV32" i="17" s="1"/>
  <c r="W20" i="17"/>
  <c r="X20" i="17" s="1"/>
  <c r="AV20" i="17" s="1"/>
  <c r="W36" i="17"/>
  <c r="X36" i="17" s="1"/>
  <c r="AV36" i="17" s="1"/>
  <c r="W21" i="17"/>
  <c r="X21" i="17" s="1"/>
  <c r="AV21" i="17" s="1"/>
  <c r="W38" i="17"/>
  <c r="X38" i="17" s="1"/>
  <c r="AV38" i="17" s="1"/>
  <c r="W28" i="17"/>
  <c r="X28" i="17" s="1"/>
  <c r="AV28" i="17" s="1"/>
  <c r="W39" i="17"/>
  <c r="X39" i="17" s="1"/>
  <c r="AV39" i="17" s="1"/>
  <c r="BA39" i="17" s="1"/>
  <c r="W14" i="17"/>
  <c r="X14" i="17" s="1"/>
  <c r="AV14" i="17" s="1"/>
  <c r="W30" i="17"/>
  <c r="X30" i="17" s="1"/>
  <c r="AV30" i="17" s="1"/>
  <c r="W19" i="17"/>
  <c r="X19" i="17" s="1"/>
  <c r="AV19" i="17" s="1"/>
  <c r="W22" i="17"/>
  <c r="X22" i="17" s="1"/>
  <c r="AV22" i="17" s="1"/>
  <c r="W35" i="17"/>
  <c r="X35" i="17" s="1"/>
  <c r="AV35" i="17" s="1"/>
  <c r="W25" i="17"/>
  <c r="X25" i="17" s="1"/>
  <c r="AV25" i="17" s="1"/>
  <c r="W16" i="17"/>
  <c r="X16" i="17" s="1"/>
  <c r="AV16" i="17" s="1"/>
  <c r="W42" i="17"/>
  <c r="X42" i="17" s="1"/>
  <c r="AV42" i="17" s="1"/>
  <c r="W24" i="17"/>
  <c r="X24" i="17" s="1"/>
  <c r="AV24" i="17" s="1"/>
  <c r="W37" i="17"/>
  <c r="X37" i="17" s="1"/>
  <c r="AV37" i="17" s="1"/>
  <c r="W17" i="17"/>
  <c r="X17" i="17" s="1"/>
  <c r="AV17" i="17" s="1"/>
  <c r="W26" i="17"/>
  <c r="X26" i="17" s="1"/>
  <c r="AV26" i="17" s="1"/>
  <c r="AX42" i="17"/>
  <c r="BO42" i="17"/>
  <c r="BW42" i="17"/>
  <c r="AQ42" i="17"/>
  <c r="AY33" i="17"/>
  <c r="AP33" i="17"/>
  <c r="AR33" i="17" s="1"/>
  <c r="AS33" i="17" s="1"/>
  <c r="BP33" i="17"/>
  <c r="BQ33" i="17" s="1"/>
  <c r="BR33" i="17" s="1"/>
  <c r="BX33" i="17"/>
  <c r="BY33" i="17" s="1"/>
  <c r="BZ33" i="17" s="1"/>
  <c r="BW14" i="17"/>
  <c r="AX14" i="17"/>
  <c r="BO14" i="17"/>
  <c r="AQ14" i="17"/>
  <c r="AY17" i="17"/>
  <c r="BX17" i="17"/>
  <c r="BY17" i="17" s="1"/>
  <c r="BZ17" i="17" s="1"/>
  <c r="BP17" i="17"/>
  <c r="BQ17" i="17" s="1"/>
  <c r="BR17" i="17" s="1"/>
  <c r="AP17" i="17"/>
  <c r="AR17" i="17" s="1"/>
  <c r="AS17" i="17" s="1"/>
  <c r="BW24" i="17"/>
  <c r="AX24" i="17"/>
  <c r="AQ24" i="17"/>
  <c r="BO24" i="17"/>
  <c r="AY18" i="17"/>
  <c r="BP18" i="17"/>
  <c r="BX18" i="17"/>
  <c r="AP18" i="17"/>
  <c r="AR18" i="17" s="1"/>
  <c r="AS18" i="17" s="1"/>
  <c r="AY41" i="17"/>
  <c r="BP41" i="17"/>
  <c r="BQ41" i="17" s="1"/>
  <c r="BR41" i="17" s="1"/>
  <c r="BX41" i="17"/>
  <c r="BY41" i="17" s="1"/>
  <c r="BZ41" i="17" s="1"/>
  <c r="AP41" i="17"/>
  <c r="AR41" i="17" s="1"/>
  <c r="AS41" i="17" s="1"/>
  <c r="BW25" i="17"/>
  <c r="BO25" i="17"/>
  <c r="AX25" i="17"/>
  <c r="AQ25" i="17"/>
  <c r="AY20" i="17"/>
  <c r="BP20" i="17"/>
  <c r="BQ20" i="17" s="1"/>
  <c r="BR20" i="17" s="1"/>
  <c r="BX20" i="17"/>
  <c r="BY20" i="17" s="1"/>
  <c r="BZ20" i="17" s="1"/>
  <c r="AP20" i="17"/>
  <c r="AR20" i="17" s="1"/>
  <c r="AS20" i="17" s="1"/>
  <c r="AY21" i="17"/>
  <c r="BP21" i="17"/>
  <c r="BQ21" i="17" s="1"/>
  <c r="BR21" i="17" s="1"/>
  <c r="BX21" i="17"/>
  <c r="BY21" i="17" s="1"/>
  <c r="BZ21" i="17" s="1"/>
  <c r="AP21" i="17"/>
  <c r="AR21" i="17" s="1"/>
  <c r="AS21" i="17" s="1"/>
  <c r="BO19" i="17"/>
  <c r="BW19" i="17"/>
  <c r="AX19" i="17"/>
  <c r="AQ19" i="17"/>
  <c r="AX27" i="17"/>
  <c r="BO27" i="17"/>
  <c r="BW27" i="17"/>
  <c r="AQ27" i="17"/>
  <c r="BX23" i="17"/>
  <c r="BY23" i="17" s="1"/>
  <c r="BZ23" i="17" s="1"/>
  <c r="AP23" i="17"/>
  <c r="AR23" i="17" s="1"/>
  <c r="AS23" i="17" s="1"/>
  <c r="AY23" i="17"/>
  <c r="BP23" i="17"/>
  <c r="BQ23" i="17" s="1"/>
  <c r="BR23" i="17" s="1"/>
  <c r="BO30" i="17"/>
  <c r="BW30" i="17"/>
  <c r="AX30" i="17"/>
  <c r="AQ30" i="17"/>
  <c r="AY37" i="17"/>
  <c r="BP37" i="17"/>
  <c r="BQ37" i="17" s="1"/>
  <c r="BR37" i="17" s="1"/>
  <c r="AP37" i="17"/>
  <c r="AR37" i="17" s="1"/>
  <c r="AS37" i="17" s="1"/>
  <c r="BX37" i="17"/>
  <c r="BY37" i="17" s="1"/>
  <c r="BZ37" i="17" s="1"/>
  <c r="AX38" i="17"/>
  <c r="BO38" i="17"/>
  <c r="BW38" i="17"/>
  <c r="AQ38" i="17"/>
  <c r="AY40" i="17"/>
  <c r="BP40" i="17"/>
  <c r="BQ40" i="17" s="1"/>
  <c r="BR40" i="17" s="1"/>
  <c r="BX40" i="17"/>
  <c r="BY40" i="17" s="1"/>
  <c r="BZ40" i="17" s="1"/>
  <c r="AP40" i="17"/>
  <c r="AR40" i="17" s="1"/>
  <c r="AS40" i="17" s="1"/>
  <c r="BX15" i="17"/>
  <c r="BY15" i="17" s="1"/>
  <c r="BZ15" i="17" s="1"/>
  <c r="AY15" i="17"/>
  <c r="BP15" i="17"/>
  <c r="BQ15" i="17" s="1"/>
  <c r="BR15" i="17" s="1"/>
  <c r="AP15" i="17"/>
  <c r="AR15" i="17" s="1"/>
  <c r="AS15" i="17" s="1"/>
  <c r="AY16" i="17"/>
  <c r="AP16" i="17"/>
  <c r="AR16" i="17" s="1"/>
  <c r="AS16" i="17" s="1"/>
  <c r="BP16" i="17"/>
  <c r="BQ16" i="17" s="1"/>
  <c r="BR16" i="17" s="1"/>
  <c r="BX16" i="17"/>
  <c r="BY16" i="17" s="1"/>
  <c r="BZ16" i="17" s="1"/>
  <c r="BW29" i="17"/>
  <c r="BO29" i="17"/>
  <c r="AX29" i="17"/>
  <c r="AQ29" i="17"/>
  <c r="AP32" i="17"/>
  <c r="AR32" i="17" s="1"/>
  <c r="AS32" i="17" s="1"/>
  <c r="BP32" i="17"/>
  <c r="BQ32" i="17" s="1"/>
  <c r="BR32" i="17" s="1"/>
  <c r="BX32" i="17"/>
  <c r="BY32" i="17" s="1"/>
  <c r="BZ32" i="17" s="1"/>
  <c r="AY32" i="17"/>
  <c r="BO26" i="17"/>
  <c r="AX26" i="17"/>
  <c r="BW26" i="17"/>
  <c r="AQ26" i="17"/>
  <c r="BX34" i="17" l="1"/>
  <c r="BY34" i="17" s="1"/>
  <c r="BZ34" i="17" s="1"/>
  <c r="BA35" i="17"/>
  <c r="BC35" i="17" s="1"/>
  <c r="BE35" i="17" s="1"/>
  <c r="BF35" i="17" s="1"/>
  <c r="BY18" i="17"/>
  <c r="BZ18" i="17" s="1"/>
  <c r="BA15" i="17"/>
  <c r="BC15" i="17" s="1"/>
  <c r="BE15" i="17" s="1"/>
  <c r="AP34" i="17"/>
  <c r="AR34" i="17" s="1"/>
  <c r="AS34" i="17" s="1"/>
  <c r="BY36" i="17"/>
  <c r="BZ36" i="17" s="1"/>
  <c r="AP22" i="17"/>
  <c r="AR22" i="17" s="1"/>
  <c r="AS22" i="17" s="1"/>
  <c r="BX22" i="17"/>
  <c r="BY22" i="17" s="1"/>
  <c r="BZ22" i="17" s="1"/>
  <c r="BP22" i="17"/>
  <c r="BQ22" i="17" s="1"/>
  <c r="BR22" i="17" s="1"/>
  <c r="AY34" i="17"/>
  <c r="BA34" i="17" s="1"/>
  <c r="BC34" i="17" s="1"/>
  <c r="BE34" i="17" s="1"/>
  <c r="BQ18" i="17"/>
  <c r="BR18" i="17" s="1"/>
  <c r="AU10" i="17"/>
  <c r="BL13" i="17"/>
  <c r="AI13" i="17"/>
  <c r="AK13" i="17" s="1"/>
  <c r="AC13" i="17"/>
  <c r="AU13" i="17"/>
  <c r="AB13" i="17"/>
  <c r="U13" i="17"/>
  <c r="T11" i="17"/>
  <c r="V11" i="17"/>
  <c r="AI9" i="17"/>
  <c r="AK9" i="17" s="1"/>
  <c r="AC9" i="17"/>
  <c r="T12" i="17"/>
  <c r="V12" i="17"/>
  <c r="AU9" i="17"/>
  <c r="BL9" i="17"/>
  <c r="AB9" i="17"/>
  <c r="U9" i="17"/>
  <c r="AI10" i="17"/>
  <c r="AK10" i="17" s="1"/>
  <c r="AC10" i="17"/>
  <c r="BL10" i="17"/>
  <c r="U10" i="17"/>
  <c r="AB10" i="17"/>
  <c r="BX28" i="17"/>
  <c r="BY28" i="17" s="1"/>
  <c r="BZ28" i="17" s="1"/>
  <c r="AP28" i="17"/>
  <c r="AR28" i="17" s="1"/>
  <c r="AS28" i="17" s="1"/>
  <c r="AY28" i="17"/>
  <c r="BA28" i="17" s="1"/>
  <c r="BC28" i="17" s="1"/>
  <c r="BE28" i="17" s="1"/>
  <c r="BP28" i="17"/>
  <c r="BQ28" i="17" s="1"/>
  <c r="BR28" i="17" s="1"/>
  <c r="BA17" i="17"/>
  <c r="BC17" i="17" s="1"/>
  <c r="BE17" i="17" s="1"/>
  <c r="BF17" i="17" s="1"/>
  <c r="BA36" i="17"/>
  <c r="BC36" i="17" s="1"/>
  <c r="BE36" i="17" s="1"/>
  <c r="BF36" i="17" s="1"/>
  <c r="AP31" i="17"/>
  <c r="AR31" i="17" s="1"/>
  <c r="AS31" i="17" s="1"/>
  <c r="BP31" i="17"/>
  <c r="BQ31" i="17" s="1"/>
  <c r="BR31" i="17" s="1"/>
  <c r="BX31" i="17"/>
  <c r="BY31" i="17" s="1"/>
  <c r="BZ31" i="17" s="1"/>
  <c r="AY31" i="17"/>
  <c r="BA31" i="17" s="1"/>
  <c r="BA20" i="17"/>
  <c r="BC20" i="17" s="1"/>
  <c r="BE20" i="17" s="1"/>
  <c r="BA33" i="17"/>
  <c r="BC33" i="17" s="1"/>
  <c r="BE33" i="17" s="1"/>
  <c r="BF33" i="17" s="1"/>
  <c r="BA32" i="17"/>
  <c r="BC32" i="17" s="1"/>
  <c r="BE32" i="17" s="1"/>
  <c r="BF32" i="17" s="1"/>
  <c r="BA22" i="17"/>
  <c r="BC22" i="17" s="1"/>
  <c r="BE22" i="17" s="1"/>
  <c r="BA41" i="17"/>
  <c r="BC41" i="17" s="1"/>
  <c r="BE41" i="17" s="1"/>
  <c r="BF41" i="17" s="1"/>
  <c r="BA16" i="17"/>
  <c r="BC16" i="17" s="1"/>
  <c r="BE16" i="17" s="1"/>
  <c r="BF16" i="17" s="1"/>
  <c r="BA40" i="17"/>
  <c r="BC40" i="17" s="1"/>
  <c r="BE40" i="17" s="1"/>
  <c r="BF40" i="17" s="1"/>
  <c r="BA23" i="17"/>
  <c r="BC23" i="17" s="1"/>
  <c r="BE23" i="17" s="1"/>
  <c r="BA21" i="17"/>
  <c r="BC21" i="17" s="1"/>
  <c r="BE21" i="17" s="1"/>
  <c r="BF21" i="17" s="1"/>
  <c r="AZ35" i="17"/>
  <c r="BC39" i="17"/>
  <c r="BE39" i="17" s="1"/>
  <c r="AZ39" i="17"/>
  <c r="BA37" i="17"/>
  <c r="BC37" i="17" s="1"/>
  <c r="BE37" i="17" s="1"/>
  <c r="BA18" i="17"/>
  <c r="BC18" i="17" s="1"/>
  <c r="BE18" i="17" s="1"/>
  <c r="T8" i="17"/>
  <c r="AC8" i="17"/>
  <c r="V8" i="17"/>
  <c r="AY26" i="17"/>
  <c r="BA26" i="17" s="1"/>
  <c r="BC26" i="17" s="1"/>
  <c r="BX26" i="17"/>
  <c r="BY26" i="17" s="1"/>
  <c r="BZ26" i="17" s="1"/>
  <c r="AP26" i="17"/>
  <c r="AR26" i="17" s="1"/>
  <c r="AS26" i="17" s="1"/>
  <c r="BP26" i="17"/>
  <c r="BQ26" i="17" s="1"/>
  <c r="BR26" i="17" s="1"/>
  <c r="BP24" i="17"/>
  <c r="BQ24" i="17" s="1"/>
  <c r="BR24" i="17" s="1"/>
  <c r="BX24" i="17"/>
  <c r="BY24" i="17" s="1"/>
  <c r="BZ24" i="17" s="1"/>
  <c r="AY24" i="17"/>
  <c r="BA24" i="17" s="1"/>
  <c r="BC24" i="17" s="1"/>
  <c r="AP24" i="17"/>
  <c r="AR24" i="17" s="1"/>
  <c r="AS24" i="17" s="1"/>
  <c r="BP38" i="17"/>
  <c r="BQ38" i="17" s="1"/>
  <c r="BR38" i="17" s="1"/>
  <c r="BX38" i="17"/>
  <c r="BY38" i="17" s="1"/>
  <c r="BZ38" i="17" s="1"/>
  <c r="AP38" i="17"/>
  <c r="AR38" i="17" s="1"/>
  <c r="AS38" i="17" s="1"/>
  <c r="AY38" i="17"/>
  <c r="BA38" i="17" s="1"/>
  <c r="BC38" i="17" s="1"/>
  <c r="BX30" i="17"/>
  <c r="BY30" i="17" s="1"/>
  <c r="BZ30" i="17" s="1"/>
  <c r="AY30" i="17"/>
  <c r="BA30" i="17" s="1"/>
  <c r="BC30" i="17" s="1"/>
  <c r="AP30" i="17"/>
  <c r="AR30" i="17" s="1"/>
  <c r="AS30" i="17" s="1"/>
  <c r="BP30" i="17"/>
  <c r="BQ30" i="17" s="1"/>
  <c r="BR30" i="17" s="1"/>
  <c r="AY42" i="17"/>
  <c r="BA42" i="17" s="1"/>
  <c r="BC42" i="17" s="1"/>
  <c r="BP42" i="17"/>
  <c r="BQ42" i="17" s="1"/>
  <c r="BR42" i="17" s="1"/>
  <c r="BX42" i="17"/>
  <c r="BY42" i="17" s="1"/>
  <c r="BZ42" i="17" s="1"/>
  <c r="AP42" i="17"/>
  <c r="AR42" i="17" s="1"/>
  <c r="AS42" i="17" s="1"/>
  <c r="AY27" i="17"/>
  <c r="BA27" i="17" s="1"/>
  <c r="BC27" i="17" s="1"/>
  <c r="BP27" i="17"/>
  <c r="BQ27" i="17" s="1"/>
  <c r="BR27" i="17" s="1"/>
  <c r="BX27" i="17"/>
  <c r="BY27" i="17" s="1"/>
  <c r="BZ27" i="17" s="1"/>
  <c r="AP27" i="17"/>
  <c r="AR27" i="17" s="1"/>
  <c r="AS27" i="17" s="1"/>
  <c r="AP14" i="17"/>
  <c r="AR14" i="17" s="1"/>
  <c r="AS14" i="17" s="1"/>
  <c r="AY14" i="17"/>
  <c r="BA14" i="17" s="1"/>
  <c r="BC14" i="17" s="1"/>
  <c r="BP14" i="17"/>
  <c r="BQ14" i="17" s="1"/>
  <c r="BR14" i="17" s="1"/>
  <c r="BX14" i="17"/>
  <c r="BY14" i="17" s="1"/>
  <c r="BZ14" i="17" s="1"/>
  <c r="AP29" i="17"/>
  <c r="AR29" i="17" s="1"/>
  <c r="AS29" i="17" s="1"/>
  <c r="AY29" i="17"/>
  <c r="BA29" i="17" s="1"/>
  <c r="BC29" i="17" s="1"/>
  <c r="BX29" i="17"/>
  <c r="BY29" i="17" s="1"/>
  <c r="BZ29" i="17" s="1"/>
  <c r="BP29" i="17"/>
  <c r="BQ29" i="17" s="1"/>
  <c r="BR29" i="17" s="1"/>
  <c r="BX19" i="17"/>
  <c r="BY19" i="17" s="1"/>
  <c r="BZ19" i="17" s="1"/>
  <c r="AP19" i="17"/>
  <c r="AR19" i="17" s="1"/>
  <c r="AS19" i="17" s="1"/>
  <c r="AY19" i="17"/>
  <c r="BA19" i="17" s="1"/>
  <c r="BC19" i="17" s="1"/>
  <c r="BP19" i="17"/>
  <c r="BQ19" i="17" s="1"/>
  <c r="BR19" i="17" s="1"/>
  <c r="AP25" i="17"/>
  <c r="AR25" i="17" s="1"/>
  <c r="AS25" i="17" s="1"/>
  <c r="AY25" i="17"/>
  <c r="BA25" i="17" s="1"/>
  <c r="BC25" i="17" s="1"/>
  <c r="BX25" i="17"/>
  <c r="BY25" i="17" s="1"/>
  <c r="BZ25" i="17" s="1"/>
  <c r="BP25" i="17"/>
  <c r="BQ25" i="17" s="1"/>
  <c r="BR25" i="17" s="1"/>
  <c r="AZ15" i="17" l="1"/>
  <c r="BF18" i="17"/>
  <c r="BG18" i="17" s="1"/>
  <c r="CD18" i="17" s="1"/>
  <c r="BF22" i="17"/>
  <c r="BG22" i="17" s="1"/>
  <c r="CD22" i="17" s="1"/>
  <c r="AZ32" i="17"/>
  <c r="BF39" i="17"/>
  <c r="CC39" i="17" s="1"/>
  <c r="AU12" i="17"/>
  <c r="AZ34" i="17"/>
  <c r="AZ28" i="17"/>
  <c r="AB12" i="17"/>
  <c r="BL12" i="17"/>
  <c r="U12" i="17"/>
  <c r="W13" i="17"/>
  <c r="BL11" i="17"/>
  <c r="U11" i="17"/>
  <c r="AJ13" i="17"/>
  <c r="AQ13" i="17" s="1"/>
  <c r="BX13" i="17" s="1"/>
  <c r="BN13" i="17"/>
  <c r="AW13" i="17"/>
  <c r="W9" i="17"/>
  <c r="AJ9" i="17"/>
  <c r="AQ9" i="17" s="1"/>
  <c r="BX9" i="17" s="1"/>
  <c r="BN9" i="17"/>
  <c r="AW9" i="17"/>
  <c r="AJ10" i="17"/>
  <c r="AQ10" i="17" s="1"/>
  <c r="AW10" i="17"/>
  <c r="BN10" i="17"/>
  <c r="AB11" i="17"/>
  <c r="AC11" i="17"/>
  <c r="W10" i="17"/>
  <c r="AC12" i="17"/>
  <c r="AI12" i="17"/>
  <c r="AK12" i="17" s="1"/>
  <c r="AU11" i="17"/>
  <c r="AI11" i="17"/>
  <c r="AK11" i="17" s="1"/>
  <c r="AZ41" i="17"/>
  <c r="BG17" i="17"/>
  <c r="CD17" i="17" s="1"/>
  <c r="CC17" i="17"/>
  <c r="BG41" i="17"/>
  <c r="CD41" i="17" s="1"/>
  <c r="CC41" i="17"/>
  <c r="BG21" i="17"/>
  <c r="CD21" i="17" s="1"/>
  <c r="CC21" i="17"/>
  <c r="BG40" i="17"/>
  <c r="CD40" i="17" s="1"/>
  <c r="CC40" i="17"/>
  <c r="BG36" i="17"/>
  <c r="CD36" i="17" s="1"/>
  <c r="CC36" i="17"/>
  <c r="AZ36" i="17"/>
  <c r="BG16" i="17"/>
  <c r="CD16" i="17" s="1"/>
  <c r="CC16" i="17"/>
  <c r="BG33" i="17"/>
  <c r="CD33" i="17" s="1"/>
  <c r="CC33" i="17"/>
  <c r="BG35" i="17"/>
  <c r="CD35" i="17" s="1"/>
  <c r="CC35" i="17"/>
  <c r="BG32" i="17"/>
  <c r="CD32" i="17" s="1"/>
  <c r="CC32" i="17"/>
  <c r="AZ17" i="17"/>
  <c r="AZ33" i="17"/>
  <c r="AZ22" i="17"/>
  <c r="BC31" i="17"/>
  <c r="BE31" i="17" s="1"/>
  <c r="AZ31" i="17"/>
  <c r="AZ20" i="17"/>
  <c r="AZ19" i="17"/>
  <c r="AZ40" i="17"/>
  <c r="AZ16" i="17"/>
  <c r="AZ37" i="17"/>
  <c r="AZ21" i="17"/>
  <c r="AZ18" i="17"/>
  <c r="AZ23" i="17"/>
  <c r="AI8" i="17"/>
  <c r="AK8" i="17" s="1"/>
  <c r="BF28" i="17"/>
  <c r="AU8" i="17"/>
  <c r="U8" i="17"/>
  <c r="AB8" i="17"/>
  <c r="BL8" i="17"/>
  <c r="AZ14" i="17"/>
  <c r="AZ25" i="17"/>
  <c r="BE38" i="17"/>
  <c r="BE27" i="17"/>
  <c r="BF27" i="17" s="1"/>
  <c r="BE26" i="17"/>
  <c r="BF26" i="17" s="1"/>
  <c r="BE25" i="17"/>
  <c r="BF25" i="17" s="1"/>
  <c r="AZ30" i="17"/>
  <c r="AZ27" i="17"/>
  <c r="AZ26" i="17"/>
  <c r="BF20" i="17"/>
  <c r="BE30" i="17"/>
  <c r="BE24" i="17"/>
  <c r="BF24" i="17" s="1"/>
  <c r="BE42" i="17"/>
  <c r="BF42" i="17" s="1"/>
  <c r="BF37" i="17"/>
  <c r="BE29" i="17"/>
  <c r="AZ38" i="17"/>
  <c r="BF34" i="17"/>
  <c r="BE19" i="17"/>
  <c r="BF19" i="17" s="1"/>
  <c r="AZ29" i="17"/>
  <c r="BE14" i="17"/>
  <c r="BF23" i="17"/>
  <c r="BF15" i="17"/>
  <c r="AZ42" i="17"/>
  <c r="AZ24" i="17"/>
  <c r="CC18" i="17" l="1"/>
  <c r="BX10" i="17"/>
  <c r="BG39" i="17"/>
  <c r="CD39" i="17" s="1"/>
  <c r="CC22" i="17"/>
  <c r="BH35" i="17"/>
  <c r="CE35" i="17" s="1"/>
  <c r="CB35" i="17" s="1"/>
  <c r="BH40" i="17"/>
  <c r="CE40" i="17" s="1"/>
  <c r="CB40" i="17" s="1"/>
  <c r="BH41" i="17"/>
  <c r="CE41" i="17" s="1"/>
  <c r="CB41" i="17" s="1"/>
  <c r="BH33" i="17"/>
  <c r="CE33" i="17" s="1"/>
  <c r="CB33" i="17" s="1"/>
  <c r="BW9" i="17"/>
  <c r="BY9" i="17" s="1"/>
  <c r="BZ9" i="17" s="1"/>
  <c r="AX9" i="17"/>
  <c r="BO9" i="17"/>
  <c r="AP9" i="17"/>
  <c r="AR9" i="17" s="1"/>
  <c r="AY9" i="17" s="1"/>
  <c r="AW11" i="17"/>
  <c r="BN11" i="17"/>
  <c r="AJ11" i="17"/>
  <c r="AQ11" i="17" s="1"/>
  <c r="BX11" i="17" s="1"/>
  <c r="W11" i="17"/>
  <c r="Y9" i="17"/>
  <c r="X9" i="17"/>
  <c r="X13" i="17"/>
  <c r="Y13" i="17"/>
  <c r="W12" i="17"/>
  <c r="X10" i="17"/>
  <c r="Y10" i="17"/>
  <c r="AX10" i="17"/>
  <c r="BO10" i="17"/>
  <c r="BW10" i="17"/>
  <c r="BY10" i="17" s="1"/>
  <c r="BZ10" i="17" s="1"/>
  <c r="AP10" i="17"/>
  <c r="AR10" i="17" s="1"/>
  <c r="BO13" i="17"/>
  <c r="AX13" i="17"/>
  <c r="BW13" i="17"/>
  <c r="BY13" i="17" s="1"/>
  <c r="BZ13" i="17" s="1"/>
  <c r="AP13" i="17"/>
  <c r="AR13" i="17" s="1"/>
  <c r="AY13" i="17" s="1"/>
  <c r="AW12" i="17"/>
  <c r="BN12" i="17"/>
  <c r="AJ12" i="17"/>
  <c r="AQ12" i="17" s="1"/>
  <c r="BH22" i="17"/>
  <c r="CE22" i="17" s="1"/>
  <c r="BH21" i="17"/>
  <c r="CE21" i="17" s="1"/>
  <c r="CB21" i="17" s="1"/>
  <c r="BG15" i="17"/>
  <c r="CD15" i="17" s="1"/>
  <c r="CC15" i="17"/>
  <c r="BG23" i="17"/>
  <c r="CD23" i="17" s="1"/>
  <c r="CC23" i="17"/>
  <c r="BH32" i="17"/>
  <c r="CE32" i="17" s="1"/>
  <c r="CB32" i="17" s="1"/>
  <c r="BG42" i="17"/>
  <c r="CD42" i="17" s="1"/>
  <c r="CC42" i="17"/>
  <c r="BG24" i="17"/>
  <c r="CD24" i="17" s="1"/>
  <c r="CC24" i="17"/>
  <c r="BH18" i="17"/>
  <c r="CE18" i="17" s="1"/>
  <c r="BH36" i="17"/>
  <c r="CE36" i="17" s="1"/>
  <c r="CB36" i="17" s="1"/>
  <c r="BG27" i="17"/>
  <c r="CD27" i="17" s="1"/>
  <c r="CC27" i="17"/>
  <c r="BG37" i="17"/>
  <c r="CD37" i="17" s="1"/>
  <c r="CC37" i="17"/>
  <c r="BG19" i="17"/>
  <c r="CD19" i="17" s="1"/>
  <c r="CC19" i="17"/>
  <c r="BH17" i="17"/>
  <c r="CE17" i="17" s="1"/>
  <c r="CB17" i="17" s="1"/>
  <c r="BG34" i="17"/>
  <c r="CD34" i="17" s="1"/>
  <c r="CC34" i="17"/>
  <c r="BG25" i="17"/>
  <c r="CD25" i="17" s="1"/>
  <c r="CC25" i="17"/>
  <c r="BG28" i="17"/>
  <c r="CD28" i="17" s="1"/>
  <c r="CC28" i="17"/>
  <c r="BH16" i="17"/>
  <c r="CE16" i="17" s="1"/>
  <c r="CB16" i="17" s="1"/>
  <c r="AJ8" i="17"/>
  <c r="AQ8" i="17" s="1"/>
  <c r="BX8" i="17" s="1"/>
  <c r="BG20" i="17"/>
  <c r="CD20" i="17" s="1"/>
  <c r="CC20" i="17"/>
  <c r="BG26" i="17"/>
  <c r="CD26" i="17" s="1"/>
  <c r="CC26" i="17"/>
  <c r="AW8" i="17"/>
  <c r="BN8" i="17"/>
  <c r="W8" i="17"/>
  <c r="BF31" i="17"/>
  <c r="BF38" i="17"/>
  <c r="BF14" i="17"/>
  <c r="BF29" i="17"/>
  <c r="BF30" i="17"/>
  <c r="CB18" i="17" l="1"/>
  <c r="AV10" i="17"/>
  <c r="AV9" i="17"/>
  <c r="BA9" i="17" s="1"/>
  <c r="BC9" i="17" s="1"/>
  <c r="BE9" i="17" s="1"/>
  <c r="BH26" i="17"/>
  <c r="CE26" i="17" s="1"/>
  <c r="BH39" i="17"/>
  <c r="CE39" i="17" s="1"/>
  <c r="CB39" i="17" s="1"/>
  <c r="CB22" i="17"/>
  <c r="BH27" i="17"/>
  <c r="CE27" i="17" s="1"/>
  <c r="CB27" i="17" s="1"/>
  <c r="AV13" i="17"/>
  <c r="BA13" i="17" s="1"/>
  <c r="BC13" i="17" s="1"/>
  <c r="BP13" i="17"/>
  <c r="BQ13" i="17" s="1"/>
  <c r="BR13" i="17" s="1"/>
  <c r="AS9" i="17"/>
  <c r="BP9" i="17"/>
  <c r="BQ9" i="17" s="1"/>
  <c r="BR9" i="17" s="1"/>
  <c r="AS13" i="17"/>
  <c r="Y12" i="17"/>
  <c r="X12" i="17"/>
  <c r="AV12" i="17" s="1"/>
  <c r="BH34" i="17"/>
  <c r="CE34" i="17" s="1"/>
  <c r="CB34" i="17" s="1"/>
  <c r="AX11" i="17"/>
  <c r="BO11" i="17"/>
  <c r="BW11" i="17"/>
  <c r="BY11" i="17" s="1"/>
  <c r="BZ11" i="17" s="1"/>
  <c r="AP11" i="17"/>
  <c r="AR11" i="17" s="1"/>
  <c r="AY11" i="17" s="1"/>
  <c r="AX12" i="17"/>
  <c r="BO12" i="17"/>
  <c r="BW12" i="17"/>
  <c r="AP12" i="17"/>
  <c r="AR12" i="17" s="1"/>
  <c r="BH20" i="17"/>
  <c r="CE20" i="17" s="1"/>
  <c r="CB20" i="17" s="1"/>
  <c r="BP10" i="17"/>
  <c r="BQ10" i="17" s="1"/>
  <c r="BR10" i="17" s="1"/>
  <c r="AS10" i="17"/>
  <c r="AY10" i="17"/>
  <c r="X11" i="17"/>
  <c r="Y11" i="17"/>
  <c r="BH19" i="17"/>
  <c r="CE19" i="17" s="1"/>
  <c r="CB19" i="17" s="1"/>
  <c r="BH28" i="17"/>
  <c r="CE28" i="17" s="1"/>
  <c r="CB28" i="17" s="1"/>
  <c r="CB26" i="17"/>
  <c r="BH24" i="17"/>
  <c r="CE24" i="17" s="1"/>
  <c r="CB24" i="17" s="1"/>
  <c r="BG30" i="17"/>
  <c r="CD30" i="17" s="1"/>
  <c r="CC30" i="17"/>
  <c r="BG31" i="17"/>
  <c r="CD31" i="17" s="1"/>
  <c r="CC31" i="17"/>
  <c r="BH37" i="17"/>
  <c r="CE37" i="17" s="1"/>
  <c r="CB37" i="17" s="1"/>
  <c r="BG29" i="17"/>
  <c r="CD29" i="17" s="1"/>
  <c r="CC29" i="17"/>
  <c r="BG14" i="17"/>
  <c r="CD14" i="17" s="1"/>
  <c r="CC14" i="17"/>
  <c r="BH42" i="17"/>
  <c r="CE42" i="17" s="1"/>
  <c r="CB42" i="17" s="1"/>
  <c r="BG38" i="17"/>
  <c r="CD38" i="17" s="1"/>
  <c r="CC38" i="17"/>
  <c r="BH15" i="17"/>
  <c r="CE15" i="17" s="1"/>
  <c r="CB15" i="17" s="1"/>
  <c r="BH25" i="17"/>
  <c r="CE25" i="17" s="1"/>
  <c r="CB25" i="17" s="1"/>
  <c r="BH23" i="17"/>
  <c r="CE23" i="17" s="1"/>
  <c r="CB23" i="17" s="1"/>
  <c r="AP8" i="17"/>
  <c r="AR8" i="17" s="1"/>
  <c r="BP8" i="17" s="1"/>
  <c r="AX8" i="17"/>
  <c r="BW8" i="17"/>
  <c r="BY8" i="17" s="1"/>
  <c r="BZ8" i="17" s="1"/>
  <c r="BO8" i="17"/>
  <c r="X8" i="17"/>
  <c r="Y8" i="17"/>
  <c r="BA10" i="17" l="1"/>
  <c r="BC10" i="17" s="1"/>
  <c r="BE10" i="17" s="1"/>
  <c r="BF10" i="17" s="1"/>
  <c r="CC10" i="17" s="1"/>
  <c r="BP12" i="17"/>
  <c r="BQ12" i="17" s="1"/>
  <c r="BR12" i="17" s="1"/>
  <c r="AV11" i="17"/>
  <c r="BA11" i="17" s="1"/>
  <c r="BC11" i="17" s="1"/>
  <c r="BE11" i="17" s="1"/>
  <c r="BF9" i="17"/>
  <c r="AZ9" i="17"/>
  <c r="BE13" i="17"/>
  <c r="BF13" i="17" s="1"/>
  <c r="CC13" i="17" s="1"/>
  <c r="AZ13" i="17"/>
  <c r="AY12" i="17"/>
  <c r="BA12" i="17" s="1"/>
  <c r="BC12" i="17" s="1"/>
  <c r="BE12" i="17" s="1"/>
  <c r="AS12" i="17"/>
  <c r="AS11" i="17"/>
  <c r="BX12" i="17"/>
  <c r="BY12" i="17" s="1"/>
  <c r="BZ12" i="17" s="1"/>
  <c r="BP11" i="17"/>
  <c r="BQ11" i="17" s="1"/>
  <c r="BR11" i="17" s="1"/>
  <c r="BH31" i="17"/>
  <c r="CE31" i="17" s="1"/>
  <c r="CB31" i="17" s="1"/>
  <c r="BH30" i="17"/>
  <c r="CE30" i="17" s="1"/>
  <c r="CB30" i="17" s="1"/>
  <c r="BH38" i="17"/>
  <c r="CE38" i="17" s="1"/>
  <c r="CB38" i="17" s="1"/>
  <c r="BH29" i="17"/>
  <c r="CE29" i="17" s="1"/>
  <c r="CB29" i="17" s="1"/>
  <c r="BH14" i="17"/>
  <c r="CE14" i="17" s="1"/>
  <c r="CB14" i="17" s="1"/>
  <c r="AV8" i="17"/>
  <c r="BQ8" i="17"/>
  <c r="BR8" i="17" s="1"/>
  <c r="AY8" i="17"/>
  <c r="AS8" i="17"/>
  <c r="AZ10" i="17" l="1"/>
  <c r="CC9" i="17"/>
  <c r="BG9" i="17"/>
  <c r="AZ11" i="17"/>
  <c r="BF12" i="17"/>
  <c r="CC12" i="17" s="1"/>
  <c r="BG10" i="17"/>
  <c r="CD10" i="17" s="1"/>
  <c r="BG13" i="17"/>
  <c r="CD13" i="17" s="1"/>
  <c r="BF11" i="17"/>
  <c r="AZ12" i="17"/>
  <c r="BA8" i="17"/>
  <c r="BC8" i="17" s="1"/>
  <c r="BE8" i="17" s="1"/>
  <c r="BE5" i="17" s="1"/>
  <c r="CD9" i="17" l="1"/>
  <c r="BH9" i="17"/>
  <c r="BG12" i="17"/>
  <c r="CD12" i="17" s="1"/>
  <c r="BH13" i="17"/>
  <c r="CE13" i="17" s="1"/>
  <c r="CB13" i="17" s="1"/>
  <c r="BH10" i="17"/>
  <c r="CE10" i="17" s="1"/>
  <c r="CB10" i="17" s="1"/>
  <c r="CC11" i="17"/>
  <c r="BG11" i="17"/>
  <c r="AZ8" i="17"/>
  <c r="BF8" i="17"/>
  <c r="BF5" i="17" s="1"/>
  <c r="CE9" i="17" l="1"/>
  <c r="BH12" i="17"/>
  <c r="CE12" i="17" s="1"/>
  <c r="CB12" i="17" s="1"/>
  <c r="CD11" i="17"/>
  <c r="BH11" i="17"/>
  <c r="CE11" i="17" s="1"/>
  <c r="BG8" i="17"/>
  <c r="BG5" i="17" s="1"/>
  <c r="CC8" i="17"/>
  <c r="CC5" i="17" s="1"/>
  <c r="CB11" i="17" l="1"/>
  <c r="CB9" i="17"/>
  <c r="BH8" i="17"/>
  <c r="CE8" i="17" s="1"/>
  <c r="CE5" i="17" s="1"/>
  <c r="CD8" i="17"/>
  <c r="CD5" i="17" s="1"/>
  <c r="BH5" i="17" l="1"/>
  <c r="CB8" i="17"/>
  <c r="CB5"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Kitty Attema</author>
    <author>Reinier Goedhart</author>
  </authors>
  <commentList>
    <comment ref="G7" authorId="0" shapeId="0" xr:uid="{F65092E9-7900-403C-9B54-EC7DC7834A2E}">
      <text>
        <r>
          <rPr>
            <sz val="9"/>
            <color indexed="81"/>
            <rFont val="Tahoma"/>
            <family val="2"/>
          </rPr>
          <t>vanaf de 1e werkeloosheidsdag.</t>
        </r>
      </text>
    </comment>
    <comment ref="H7" authorId="0" shapeId="0" xr:uid="{5EDAC415-D2AB-4F4B-AC2E-E62C178B839D}">
      <text>
        <r>
          <rPr>
            <sz val="9"/>
            <color indexed="81"/>
            <rFont val="Tahoma"/>
            <family val="2"/>
          </rPr>
          <t>Voor velen is dit start diensttijd onderwijs. Voor zij-instromers zal ook het arbeidsverleden in andere sectoren meegenomen moeten worden.</t>
        </r>
      </text>
    </comment>
    <comment ref="K7" authorId="0" shapeId="0" xr:uid="{EBEA8FE4-83E5-4E73-AD3D-A4778F0C1CF3}">
      <text>
        <r>
          <rPr>
            <sz val="9"/>
            <color indexed="81"/>
            <rFont val="Tahoma"/>
            <family val="2"/>
          </rPr>
          <t xml:space="preserve">Op te vragen bij de salarisadministratie. Het sv-loon is het loon waarover belastingen en sociale premies zijn betaald in het afgelopen jaar. De periode van 1 jaar begint 1 jaar en 1 kalendermaand (of 4-wekenperiode) voor de eerste werkloosheidsdag. De periode eindigt op de laatste dag van de een-na-laatste volledige maand (of 4-wekenperiode) voordat de eerste werkeloosheidsdag. De laatste volledige maand of 4-wekenperiode telt dus niet mee.
</t>
        </r>
      </text>
    </comment>
    <comment ref="L7" authorId="0" shapeId="0" xr:uid="{3CC6A259-4197-4D75-99F2-1B8FB28285EE}">
      <text>
        <r>
          <rPr>
            <sz val="9"/>
            <color indexed="81"/>
            <rFont val="Tahoma"/>
            <family val="2"/>
          </rPr>
          <t xml:space="preserve">Het jaarloon gedeeld door het aantal werkdagen in deze periode.
</t>
        </r>
      </text>
    </comment>
    <comment ref="T7" authorId="0" shapeId="0" xr:uid="{0DBE0BD4-9482-4399-9EF9-58F4EF5A7CB6}">
      <text>
        <r>
          <rPr>
            <sz val="9"/>
            <color indexed="81"/>
            <rFont val="Tahoma"/>
            <family val="2"/>
          </rPr>
          <t xml:space="preserve">kan de AOW leeftijd zijn of een andere schatting op basis van werkhervattingsinspanningen en/of de situatie op de arbeidsmarkt
</t>
        </r>
        <r>
          <rPr>
            <b/>
            <sz val="9"/>
            <color indexed="81"/>
            <rFont val="Tahoma"/>
            <family val="2"/>
          </rPr>
          <t xml:space="preserve">
</t>
        </r>
        <r>
          <rPr>
            <sz val="9"/>
            <color indexed="81"/>
            <rFont val="Tahoma"/>
            <family val="2"/>
          </rPr>
          <t xml:space="preserve">
</t>
        </r>
      </text>
    </comment>
    <comment ref="Z7" authorId="0" shapeId="0" xr:uid="{FFDF95DB-403E-49E8-8A31-FBACB22FAC44}">
      <text>
        <r>
          <rPr>
            <sz val="9"/>
            <color indexed="81"/>
            <rFont val="Tahoma"/>
            <family val="2"/>
          </rPr>
          <t xml:space="preserve">Als de WW uitkering volgens de oude regeling (van vóór 2016) langer zou duren dan 24 maanden, repareert deze uitkering het ontbrekend aantal maanden cf. CAO bijlage XVI, artikel 6.
</t>
        </r>
      </text>
    </comment>
    <comment ref="AD7" authorId="0" shapeId="0" xr:uid="{D4BF07D0-E45D-4A4D-85B3-BF6598A86CFB}">
      <text>
        <r>
          <rPr>
            <sz val="9"/>
            <color indexed="81"/>
            <rFont val="Tahoma"/>
            <family val="2"/>
          </rPr>
          <t xml:space="preserve">Het jaarloon gedeeld door het aantal werkdagen in deze periode.
</t>
        </r>
      </text>
    </comment>
    <comment ref="AG7" authorId="0" shapeId="0" xr:uid="{DD12E296-D14E-4D30-8192-42E0FDB48D35}">
      <text>
        <r>
          <rPr>
            <sz val="9"/>
            <color indexed="81"/>
            <rFont val="Tahoma"/>
            <family val="2"/>
          </rPr>
          <t xml:space="preserve">Extra voorwaarden, check werkblad bovenwettelijke uitkeringen.
</t>
        </r>
      </text>
    </comment>
    <comment ref="AL7" authorId="0" shapeId="0" xr:uid="{1CAE5ACD-14F0-4D61-8DB5-35A088F86AD2}">
      <text>
        <r>
          <rPr>
            <sz val="9"/>
            <color indexed="81"/>
            <rFont val="Tahoma"/>
            <family val="2"/>
          </rPr>
          <t xml:space="preserve">Extra voorwaarden, check werkblad bovenwettelijke uitkeringen.
</t>
        </r>
      </text>
    </comment>
    <comment ref="AM7" authorId="0" shapeId="0" xr:uid="{421BE6FB-4747-4177-B846-C549BBDD3955}">
      <text>
        <r>
          <rPr>
            <sz val="9"/>
            <color indexed="81"/>
            <rFont val="Tahoma"/>
            <family val="2"/>
          </rPr>
          <t>onderwijsdiensttijd (dus bij dit bestuur en evt. andere besturen).</t>
        </r>
      </text>
    </comment>
    <comment ref="BD7" authorId="1" shapeId="0" xr:uid="{F0340987-3AA6-4BD2-8305-F2E9EF5A6DA9}">
      <text>
        <r>
          <rPr>
            <sz val="9"/>
            <color indexed="81"/>
            <rFont val="Tahoma"/>
            <family val="2"/>
          </rPr>
          <t xml:space="preserve">
Hier voert u een kanspercentage in waarmee u aangeeft of de persoon daadwerkelijk recht zal hebben op de uitkering. In een krappe arbeidsmarkt zal het aannemelijk zijn dat een werknemer snel een andere baan vindt. In dat geval vult u hier een laag percentage in.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D14" authorId="0" shapeId="0" xr:uid="{1C088085-A09F-46CB-ABB8-C97C1690E714}">
      <text>
        <r>
          <rPr>
            <b/>
            <sz val="9"/>
            <color indexed="81"/>
            <rFont val="Tahoma"/>
            <family val="2"/>
          </rPr>
          <t>Kitty Attema:</t>
        </r>
        <r>
          <rPr>
            <sz val="9"/>
            <color indexed="81"/>
            <rFont val="Tahoma"/>
            <family val="2"/>
          </rPr>
          <t xml:space="preserve">
262 (aantal weekdagen in 2024) x 8 x 13,27 / 12</t>
        </r>
      </text>
    </comment>
  </commentList>
</comments>
</file>

<file path=xl/sharedStrings.xml><?xml version="1.0" encoding="utf-8"?>
<sst xmlns="http://schemas.openxmlformats.org/spreadsheetml/2006/main" count="207" uniqueCount="144">
  <si>
    <t>Handleiding bij voorziening werkeloosheidskosten</t>
  </si>
  <si>
    <t>Het model is beveiligd met het wachtwoord:</t>
  </si>
  <si>
    <t>poraad</t>
  </si>
  <si>
    <t>Onder Controleren, Beveiliging blad opheffen, kunt u de beveiliging verwijderen.</t>
  </si>
  <si>
    <t>Desgewenst kunt u het model dus aanpassen. Kennis van Excel is dan wel vereist.</t>
  </si>
  <si>
    <t>Aanleiding</t>
  </si>
  <si>
    <t>Op 1 augustus 2022 is het Participatiefonds gemoderniseerd.</t>
  </si>
  <si>
    <t xml:space="preserve">https://www.vfpf.nl/actueel/modernisering-pf-nieuwe-manier-van-vergoeden-werkloosheidskosten </t>
  </si>
  <si>
    <t>Schoolbesturen zullen, bij beëindiging van een arbeidsovereenkomst op of na 1 augustus, 50% van de werkeloosheidskosten zelf moeten dragen. Deze eigen bijdrage kan verlaagd worden naar 10% op grond van een aantal beëindigingsgronden. De verplichte instroomtoets is komen te vervallen. Alleen als een werkgever in aanmerking wil komen voor verlaging van de eigen bijdrage naar 10%, moeten gegevens worden aangeleverd bij het Participatiefonds.</t>
  </si>
  <si>
    <t>Dit model helpt u de werkeloosheidskosten voor uw schoolbestuur te berekenen en een eventuele voorziening te onderbouwen.</t>
  </si>
  <si>
    <t xml:space="preserve">Een voorziening werkeloosheidskosten kan uitsluitend gevormd worden voor personen waarmee voor of op balansdatum onherroepelijke afspraken zijn gemaakt over ontslag en ontslagvergoeding (RJ 271.503). Een voornemen tot ontslag of waarschijnlijk ontslag is hiervoor onvoldoende. Voor tijdelijke contracten, waarvan op balansdatum vaststaat dat deze niet worden verlengd, kan geen voorziening uitkeringskosten worden gevormd. </t>
  </si>
  <si>
    <t>Eventuele nog te betalen uitkeringskosten voor de reeds verstreken periode, dienen als kortlopende schuld te worden opgenomen op de balans en maken dus geen deel uit van de voorziening op balansdatum.</t>
  </si>
  <si>
    <t>Werkblad berekening</t>
  </si>
  <si>
    <t xml:space="preserve">In dit werkblad voert u de personen (al dan niet geanonimiseerd) in waarvoor u een voorziening wilt vormen. Alle witte velden in de rij moeten worden gevuld. </t>
  </si>
  <si>
    <t>Speciale aandacht voor kolom BD: hier voert u een kanspercentage in waarmee u aangeeft of de persoon daadwerkelijk recht zal hebben op de uitkering. In een krappe arbeidsmarkt zal het aannemelijk zijn dat een leraar of onderwijsassistent snel een andere baan vindt. In dat geval vult u hier een laag percentage in. Voor personen in een meer specialistische functie en/of net onder de pensioengerechtigde leeftijd, zal dit percentage mogelijk veel hoger moeten zijn.</t>
  </si>
  <si>
    <t>Het is aan te raden de berekening te controleren met eventuele eigen bijdrage Nota's die u ontvangt in de portal van het Pf en de hoogte van de voorziening op basis daarvan waar nodig bij te stellen.</t>
  </si>
  <si>
    <t>Werkblad ww uitkering</t>
  </si>
  <si>
    <t>In dit werkblad wordt de duur van de ww uitkering toegelicht.</t>
  </si>
  <si>
    <t>Werkblad bovenwettelijke uitkeringen</t>
  </si>
  <si>
    <t>In dit werkblad worden de diverse bovenwettelijke uitkeringen toegelicht, inclusief eventuele voorwaarden die daarvoor gelden.</t>
  </si>
  <si>
    <t>Werkblad tab</t>
  </si>
  <si>
    <t>In dit werkblad zijn de variabelen opgenomen waarmee wordt gerekend. Deze worden periodiek geactualiseerd waarna een herzien model in de toolbox wordt geplaatst.</t>
  </si>
  <si>
    <t>ww max 24 mnd, dus altijd 0</t>
  </si>
  <si>
    <t>VOORZIENING WW + BOVENWETTELIJKE UITKERINGEN PER BALANSDATUM:</t>
  </si>
  <si>
    <t>AVU stopt na 6 mnd dus altijd 0</t>
  </si>
  <si>
    <t>avu max na 6 mnd dus altijd 0</t>
  </si>
  <si>
    <r>
      <t xml:space="preserve">Van toepassing op werkeloosheidskosten die ontstaan </t>
    </r>
    <r>
      <rPr>
        <i/>
        <u/>
        <sz val="12"/>
        <rFont val="Calibri"/>
        <family val="2"/>
        <scheme val="minor"/>
      </rPr>
      <t>op of na 1 augustus 2022.</t>
    </r>
    <r>
      <rPr>
        <i/>
        <sz val="12"/>
        <rFont val="Calibri"/>
        <family val="2"/>
        <scheme val="minor"/>
      </rPr>
      <t xml:space="preserve"> Niet van toepassing bij ontslag op eigen verzoek.</t>
    </r>
  </si>
  <si>
    <t>RU stopt max na 38 maanden, dus altijd 0</t>
  </si>
  <si>
    <t>laten zien</t>
  </si>
  <si>
    <t>Benodigde voorziening (nominaal)</t>
  </si>
  <si>
    <t>Toekomstige werkeloosheidskosten op balansdatum</t>
  </si>
  <si>
    <t>berekening balansdatum plus 1 jaar (100%)</t>
  </si>
  <si>
    <t>berekening balansdatum plus 5 jaar (100%)</t>
  </si>
  <si>
    <t>pers. nummer</t>
  </si>
  <si>
    <t>naam</t>
  </si>
  <si>
    <t>geboorte- datum</t>
  </si>
  <si>
    <t>datum AOW</t>
  </si>
  <si>
    <t>aantal mnd. tot AOW vanaf 1e werkeloos- heidsdag</t>
  </si>
  <si>
    <t>start arbeids verleden</t>
  </si>
  <si>
    <t>1e werkeloos- heidsdag</t>
  </si>
  <si>
    <t>Pf verzoek tot verlaging gehonoreerd?</t>
  </si>
  <si>
    <t>SV-jaarloon</t>
  </si>
  <si>
    <t>SV-dagloon (gemaximeerd UWV)</t>
  </si>
  <si>
    <t>WW maandloon</t>
  </si>
  <si>
    <t>mnd. 1 en 2 75%</t>
  </si>
  <si>
    <t>mnd. 3 t/m 24 70%</t>
  </si>
  <si>
    <t>dienst maanden</t>
  </si>
  <si>
    <t>dienstjaren</t>
  </si>
  <si>
    <t>gehele jaren vóór 2016</t>
  </si>
  <si>
    <t>aantal mnd WW</t>
  </si>
  <si>
    <t>einddatum WW</t>
  </si>
  <si>
    <t>aantal mnd. WW</t>
  </si>
  <si>
    <t>totaal WW incl. opslag</t>
  </si>
  <si>
    <t>aantal mnd. AVU</t>
  </si>
  <si>
    <t>einddatum AVU</t>
  </si>
  <si>
    <t>AVU mnd. 3 t/m 6 incl. opslag</t>
  </si>
  <si>
    <t>recht op RU?</t>
  </si>
  <si>
    <t>aantal mnd. RU</t>
  </si>
  <si>
    <t>einddatum RU</t>
  </si>
  <si>
    <t>totaal RU incl. opslag</t>
  </si>
  <si>
    <t>SV-dagloon (gemaximeerd ASU)</t>
  </si>
  <si>
    <t>ASU maandloon</t>
  </si>
  <si>
    <t>recht op ASU?</t>
  </si>
  <si>
    <t>max aantal mnd. ASU</t>
  </si>
  <si>
    <t>recht aantal mnd. ASU</t>
  </si>
  <si>
    <t>einddatum ASU</t>
  </si>
  <si>
    <t>totaal ASU incl. opslag</t>
  </si>
  <si>
    <t>recht op extra ASU?</t>
  </si>
  <si>
    <t>diensttijd op 1e werkeloos- heidsdag</t>
  </si>
  <si>
    <t>aantal jaren tot AOW op 1e werkeleloos- heidsdag</t>
  </si>
  <si>
    <t>maximering extra ASU</t>
  </si>
  <si>
    <t>recht aantal mnd. extra ASU</t>
  </si>
  <si>
    <t>einddatum extra ASU</t>
  </si>
  <si>
    <t>extra ASU tot AOW leeftijd incl. opslag</t>
  </si>
  <si>
    <t>totaal WW en BW uitkeringen</t>
  </si>
  <si>
    <t>aantal mnd. voor balans- datum</t>
  </si>
  <si>
    <t>WW</t>
  </si>
  <si>
    <t>AVU</t>
  </si>
  <si>
    <t>RU</t>
  </si>
  <si>
    <t>ASU</t>
  </si>
  <si>
    <t>extra ASU</t>
  </si>
  <si>
    <t>kosten vóór balans- datum</t>
  </si>
  <si>
    <r>
      <t xml:space="preserve">kosten na balans- datum
</t>
    </r>
    <r>
      <rPr>
        <i/>
        <sz val="9"/>
        <color rgb="FFC00000"/>
        <rFont val="Calibri"/>
        <family val="2"/>
        <scheme val="minor"/>
      </rPr>
      <t>(maximaal)</t>
    </r>
  </si>
  <si>
    <t>% ten laste van bestuur</t>
  </si>
  <si>
    <r>
      <t xml:space="preserve">ten laste van school- bestuur 50%
</t>
    </r>
    <r>
      <rPr>
        <i/>
        <sz val="9"/>
        <color rgb="FFC00000"/>
        <rFont val="Calibri"/>
        <family val="2"/>
        <scheme val="minor"/>
      </rPr>
      <t>(maximaal)</t>
    </r>
  </si>
  <si>
    <t>kans op maximale kosten (WW en BW tot pensioen)</t>
  </si>
  <si>
    <t>Voorziening tegen nominale waarde</t>
  </si>
  <si>
    <t>Looptijd tot 1 jaar</t>
  </si>
  <si>
    <t>Looptijd      1-5 jaar</t>
  </si>
  <si>
    <t>Looptijd meer dan 5 jaar</t>
  </si>
  <si>
    <t>kosten na balansdatum + 1 jr</t>
  </si>
  <si>
    <t>Voorziening</t>
  </si>
  <si>
    <t>kosten na balansdatum + 5 jr</t>
  </si>
  <si>
    <t>Voorziening contant gemaakt</t>
  </si>
  <si>
    <t>Piet</t>
  </si>
  <si>
    <t>nee</t>
  </si>
  <si>
    <t>ja</t>
  </si>
  <si>
    <t>Balansdatum</t>
  </si>
  <si>
    <t>bijdrage schoolbestuur</t>
  </si>
  <si>
    <t>Participatiefonds</t>
  </si>
  <si>
    <t>Gelden beeindigingsgronden voor verlagen eigen bijdrage?</t>
  </si>
  <si>
    <t>UWV</t>
  </si>
  <si>
    <t>Is besloten dat een werknemer die zelf ontslag nam, toch een uitkering krijgt?</t>
  </si>
  <si>
    <t>laatste datum oude Pf reglement</t>
  </si>
  <si>
    <t>ingangsdatum nieuwe Pf reglement</t>
  </si>
  <si>
    <t>gem. aantal werkdagen per maand</t>
  </si>
  <si>
    <t>gem. aantal dagen per maand</t>
  </si>
  <si>
    <t>wettelijk maximum dagloon UWV</t>
  </si>
  <si>
    <t>van toepassing op WW en RU</t>
  </si>
  <si>
    <t xml:space="preserve">https://www.uwv.nl/particulieren/bedragen/detail/maximumdagloon </t>
  </si>
  <si>
    <t>wettelijk maximum dagloon WWplus</t>
  </si>
  <si>
    <t>min.loon incl. 8% vakantietoeslag</t>
  </si>
  <si>
    <t>opslag % WG lasten</t>
  </si>
  <si>
    <t>opslag % pensioenpremie en AOV</t>
  </si>
  <si>
    <t>AOW leeftijd</t>
  </si>
  <si>
    <t xml:space="preserve">jaar en </t>
  </si>
  <si>
    <t>maanden</t>
  </si>
  <si>
    <t>Deze pensioenleeftijd wordt gehanteerd omdat het aannemelijk is dat dit de pensioenleeftijd zal zijn voor de personen waar een voorziening voor wordt gevormd.</t>
  </si>
  <si>
    <t xml:space="preserve">rentevoet contant maken </t>
  </si>
  <si>
    <t>Wekeneis:</t>
  </si>
  <si>
    <t>minimaal 26 weken is 6 maanden in dienst geweest.</t>
  </si>
  <si>
    <t>3 maanden uitkering</t>
  </si>
  <si>
    <t>Jareneis:</t>
  </si>
  <si>
    <t>minimaal 4 jaar in dienst</t>
  </si>
  <si>
    <t>dan 3 maanden</t>
  </si>
  <si>
    <t>dan tussen 4 en 24 maanden</t>
  </si>
  <si>
    <t>max 10 jaar in dienst</t>
  </si>
  <si>
    <t>1 maand per dienstjaar</t>
  </si>
  <si>
    <t>dus 4 tot 10 maanden uitkering</t>
  </si>
  <si>
    <t>11 jaar of langer in dienst</t>
  </si>
  <si>
    <t>jaren voor 2016: 1 maand</t>
  </si>
  <si>
    <t>&gt;7*12 mnd</t>
  </si>
  <si>
    <t>jaren na 2016: 0,5 maand</t>
  </si>
  <si>
    <t>tot 84 mnd</t>
  </si>
  <si>
    <t>max 24 maand</t>
  </si>
  <si>
    <t>Berekenen ww duur:</t>
  </si>
  <si>
    <t>https://www.uwv.nl/particulieren/rekenhulpen/hoe-lang-duurt-mijn-ww-uitkering/index.aspx</t>
  </si>
  <si>
    <t>Informatie: website Participatiefonds</t>
  </si>
  <si>
    <t>maximale duur:</t>
  </si>
  <si>
    <t>ww</t>
  </si>
  <si>
    <t>Extra ASU</t>
  </si>
  <si>
    <t>jaar</t>
  </si>
  <si>
    <t>van toepassing op ASU, opgevraagd bij werkgeversdesk@wwplus.nl</t>
  </si>
  <si>
    <r>
      <t xml:space="preserve">Heeft u een vraag over dit model, dan kunt u deze stellen </t>
    </r>
    <r>
      <rPr>
        <sz val="10"/>
        <rFont val="Calibri"/>
        <family val="2"/>
        <scheme val="minor"/>
      </rPr>
      <t>aan de Juridische helpdesk van de PO-Raad, na inloggen in het ledenportaal</t>
    </r>
    <r>
      <rPr>
        <sz val="10"/>
        <color rgb="FF00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</si>
</sst>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quot;€&quot;\ * #,##0_-;_-&quot;€&quot;\ * #,##0\-;_-&quot;€&quot;\ * &quot;-&quot;??_-;_-@_-"/>
    <numFmt numFmtId="166" formatCode="[$-413]d/mmm/yy;@"/>
    <numFmt numFmtId="167" formatCode="0.0"/>
    <numFmt numFmtId="168" formatCode="0.0%"/>
  </numFmts>
  <fonts count="44" x14ac:knownFonts="1">
    <font>
      <sz val="10"/>
      <name val="Arial"/>
    </font>
    <font>
      <sz val="10"/>
      <name val="Arial"/>
      <family val="2"/>
    </font>
    <font>
      <sz val="9"/>
      <color indexed="81"/>
      <name val="Tahoma"/>
      <family val="2"/>
    </font>
    <font>
      <sz val="10"/>
      <name val="Calibri"/>
      <family val="2"/>
    </font>
    <font>
      <b/>
      <sz val="10"/>
      <name val="Calibri"/>
      <family val="2"/>
    </font>
    <font>
      <sz val="9"/>
      <name val="Calibri"/>
      <family val="2"/>
      <scheme val="minor"/>
    </font>
    <font>
      <i/>
      <sz val="9"/>
      <name val="Calibri"/>
      <family val="2"/>
      <scheme val="minor"/>
    </font>
    <font>
      <u/>
      <sz val="10"/>
      <color indexed="12"/>
      <name val="Arial"/>
      <family val="2"/>
    </font>
    <font>
      <i/>
      <sz val="12"/>
      <name val="Calibri"/>
      <family val="2"/>
    </font>
    <font>
      <b/>
      <sz val="9"/>
      <name val="Calibri"/>
      <family val="2"/>
      <scheme val="minor"/>
    </font>
    <font>
      <sz val="14"/>
      <name val="Calibri"/>
      <family val="2"/>
    </font>
    <font>
      <sz val="14"/>
      <name val="Arial"/>
      <family val="2"/>
    </font>
    <font>
      <sz val="14"/>
      <color indexed="10"/>
      <name val="Calibri"/>
      <family val="2"/>
    </font>
    <font>
      <i/>
      <sz val="12"/>
      <color rgb="FFC00000"/>
      <name val="Calibri"/>
      <family val="2"/>
    </font>
    <font>
      <b/>
      <sz val="9"/>
      <color indexed="81"/>
      <name val="Tahoma"/>
      <family val="2"/>
    </font>
    <font>
      <u/>
      <sz val="9"/>
      <color indexed="12"/>
      <name val="Arial"/>
      <family val="2"/>
    </font>
    <font>
      <b/>
      <sz val="10"/>
      <color rgb="FFFF0000"/>
      <name val="Calibri"/>
      <family val="2"/>
    </font>
    <font>
      <sz val="10"/>
      <name val="Calibri"/>
      <family val="2"/>
      <scheme val="minor"/>
    </font>
    <font>
      <sz val="18"/>
      <color rgb="FF4B287F"/>
      <name val="Trebuchet MS"/>
      <family val="2"/>
    </font>
    <font>
      <sz val="14"/>
      <color rgb="FF000000"/>
      <name val="Trebuchet MS"/>
      <family val="2"/>
    </font>
    <font>
      <sz val="9"/>
      <color theme="0"/>
      <name val="Calibri"/>
      <family val="2"/>
      <scheme val="minor"/>
    </font>
    <font>
      <b/>
      <sz val="9"/>
      <color rgb="FFC00000"/>
      <name val="Calibri"/>
      <family val="2"/>
      <scheme val="minor"/>
    </font>
    <font>
      <b/>
      <sz val="10"/>
      <name val="Calibri"/>
      <family val="2"/>
      <scheme val="minor"/>
    </font>
    <font>
      <b/>
      <sz val="10"/>
      <color theme="1" tint="0.34998626667073579"/>
      <name val="Calibri"/>
      <family val="2"/>
      <scheme val="minor"/>
    </font>
    <font>
      <sz val="10"/>
      <color rgb="FF002060"/>
      <name val="Calibri"/>
      <family val="2"/>
      <scheme val="minor"/>
    </font>
    <font>
      <i/>
      <sz val="10"/>
      <name val="Calibri"/>
      <family val="2"/>
      <scheme val="minor"/>
    </font>
    <font>
      <sz val="12"/>
      <color rgb="FFC00000"/>
      <name val="Calibri"/>
      <family val="2"/>
      <scheme val="minor"/>
    </font>
    <font>
      <sz val="11"/>
      <name val="Calibri"/>
      <family val="2"/>
      <scheme val="minor"/>
    </font>
    <font>
      <sz val="11"/>
      <color rgb="FF002060"/>
      <name val="Calibri"/>
      <family val="2"/>
      <scheme val="minor"/>
    </font>
    <font>
      <b/>
      <sz val="11"/>
      <color rgb="FFC00000"/>
      <name val="Calibri"/>
      <family val="2"/>
      <scheme val="minor"/>
    </font>
    <font>
      <i/>
      <sz val="9"/>
      <color rgb="FFC00000"/>
      <name val="Calibri"/>
      <family val="2"/>
      <scheme val="minor"/>
    </font>
    <font>
      <sz val="9"/>
      <color rgb="FF002060"/>
      <name val="Calibri"/>
      <family val="2"/>
      <scheme val="minor"/>
    </font>
    <font>
      <b/>
      <i/>
      <sz val="9"/>
      <name val="Calibri"/>
      <family val="2"/>
      <scheme val="minor"/>
    </font>
    <font>
      <b/>
      <sz val="10"/>
      <color rgb="FFFF0000"/>
      <name val="Calibri"/>
      <family val="2"/>
      <scheme val="minor"/>
    </font>
    <font>
      <u/>
      <sz val="10"/>
      <color indexed="12"/>
      <name val="Calibri"/>
      <family val="2"/>
      <scheme val="minor"/>
    </font>
    <font>
      <b/>
      <sz val="10"/>
      <color rgb="FF00B050"/>
      <name val="Calibri"/>
      <family val="2"/>
      <scheme val="minor"/>
    </font>
    <font>
      <sz val="10"/>
      <color rgb="FF000000"/>
      <name val="Calibri"/>
      <family val="2"/>
      <scheme val="minor"/>
    </font>
    <font>
      <b/>
      <sz val="10"/>
      <color rgb="FFC00000"/>
      <name val="Calibri"/>
      <family val="2"/>
      <scheme val="minor"/>
    </font>
    <font>
      <i/>
      <sz val="9"/>
      <color rgb="FF002060"/>
      <name val="Calibri"/>
      <family val="2"/>
      <scheme val="minor"/>
    </font>
    <font>
      <sz val="10"/>
      <color rgb="FFFFC000"/>
      <name val="Calibri"/>
      <family val="2"/>
      <scheme val="minor"/>
    </font>
    <font>
      <i/>
      <sz val="12"/>
      <name val="Calibri"/>
      <family val="2"/>
      <scheme val="minor"/>
    </font>
    <font>
      <i/>
      <u/>
      <sz val="12"/>
      <name val="Calibri"/>
      <family val="2"/>
      <scheme val="minor"/>
    </font>
    <font>
      <b/>
      <sz val="10"/>
      <color rgb="FF002060"/>
      <name val="Calibri"/>
      <family val="2"/>
      <scheme val="minor"/>
    </font>
    <font>
      <sz val="8"/>
      <name val="Arial"/>
      <family val="2"/>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bottom style="thin">
        <color theme="0" tint="-4.9989318521683403E-2"/>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164">
    <xf numFmtId="0" fontId="0" fillId="0" borderId="0" xfId="0"/>
    <xf numFmtId="0" fontId="5" fillId="0" borderId="0" xfId="0" applyFont="1" applyAlignment="1">
      <alignment horizontal="left"/>
    </xf>
    <xf numFmtId="0" fontId="6" fillId="0" borderId="0" xfId="0" applyFont="1" applyAlignment="1">
      <alignment horizontal="left" indent="1"/>
    </xf>
    <xf numFmtId="9" fontId="5" fillId="0" borderId="0" xfId="0" applyNumberFormat="1" applyFont="1" applyAlignment="1">
      <alignment horizontal="left"/>
    </xf>
    <xf numFmtId="0" fontId="9" fillId="0" borderId="0" xfId="0" applyFont="1" applyAlignment="1">
      <alignment horizontal="left"/>
    </xf>
    <xf numFmtId="0" fontId="5" fillId="0" borderId="0" xfId="0" applyFont="1" applyAlignment="1">
      <alignment horizontal="center"/>
    </xf>
    <xf numFmtId="0" fontId="3" fillId="2" borderId="0" xfId="0" applyFont="1" applyFill="1"/>
    <xf numFmtId="0" fontId="0" fillId="2" borderId="0" xfId="0" applyFill="1"/>
    <xf numFmtId="0" fontId="7" fillId="2" borderId="0" xfId="4" applyFill="1" applyAlignment="1" applyProtection="1"/>
    <xf numFmtId="0" fontId="10" fillId="2" borderId="0" xfId="0" applyFont="1" applyFill="1"/>
    <xf numFmtId="0" fontId="11" fillId="2" borderId="0" xfId="0" applyFont="1" applyFill="1"/>
    <xf numFmtId="0" fontId="15" fillId="2" borderId="0" xfId="4" applyFont="1" applyFill="1" applyAlignment="1" applyProtection="1"/>
    <xf numFmtId="0" fontId="5" fillId="2" borderId="0" xfId="0" applyFont="1" applyFill="1" applyAlignment="1">
      <alignment horizontal="left"/>
    </xf>
    <xf numFmtId="0" fontId="6" fillId="2" borderId="0" xfId="0" applyFont="1" applyFill="1" applyAlignment="1">
      <alignment horizontal="left" indent="1"/>
    </xf>
    <xf numFmtId="9" fontId="5" fillId="0" borderId="0" xfId="2" applyFont="1" applyFill="1" applyBorder="1" applyAlignment="1" applyProtection="1">
      <alignment horizontal="left"/>
    </xf>
    <xf numFmtId="0" fontId="5" fillId="0" borderId="0" xfId="0" applyFont="1"/>
    <xf numFmtId="14" fontId="5" fillId="0" borderId="0" xfId="0" applyNumberFormat="1" applyFont="1"/>
    <xf numFmtId="0" fontId="18"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horizontal="left" vertical="center" wrapText="1" indent="1"/>
    </xf>
    <xf numFmtId="0" fontId="7" fillId="0" borderId="0" xfId="4" applyAlignment="1" applyProtection="1">
      <alignment vertical="center" wrapText="1"/>
    </xf>
    <xf numFmtId="0" fontId="1" fillId="0" borderId="0" xfId="0" applyFont="1"/>
    <xf numFmtId="0" fontId="20" fillId="0" borderId="0" xfId="0" applyFont="1" applyAlignment="1">
      <alignment horizontal="left"/>
    </xf>
    <xf numFmtId="0" fontId="0" fillId="2" borderId="0" xfId="0" applyFill="1" applyAlignment="1">
      <alignment horizontal="left" vertical="top"/>
    </xf>
    <xf numFmtId="0" fontId="10" fillId="2" borderId="0" xfId="0" applyFont="1" applyFill="1" applyAlignment="1">
      <alignment horizontal="left" vertical="top"/>
    </xf>
    <xf numFmtId="15" fontId="16" fillId="2" borderId="0" xfId="0" applyNumberFormat="1" applyFont="1" applyFill="1" applyAlignment="1">
      <alignment horizontal="left" vertical="top"/>
    </xf>
    <xf numFmtId="0" fontId="11" fillId="2" borderId="0" xfId="0" applyFont="1" applyFill="1" applyAlignment="1">
      <alignment horizontal="left" vertical="top"/>
    </xf>
    <xf numFmtId="15" fontId="12" fillId="2" borderId="0" xfId="0" applyNumberFormat="1" applyFont="1" applyFill="1" applyAlignment="1">
      <alignment horizontal="left" vertical="top"/>
    </xf>
    <xf numFmtId="0" fontId="8" fillId="2" borderId="0" xfId="0" applyFont="1" applyFill="1" applyAlignment="1">
      <alignment horizontal="left" vertical="top"/>
    </xf>
    <xf numFmtId="166" fontId="13" fillId="2" borderId="0" xfId="0" applyNumberFormat="1" applyFont="1" applyFill="1" applyAlignment="1">
      <alignment horizontal="left" vertical="top"/>
    </xf>
    <xf numFmtId="0" fontId="3" fillId="2" borderId="0" xfId="0" applyFont="1" applyFill="1" applyAlignment="1">
      <alignment horizontal="left" vertical="top"/>
    </xf>
    <xf numFmtId="0" fontId="4" fillId="2" borderId="0" xfId="0" applyFont="1" applyFill="1" applyAlignment="1">
      <alignment horizontal="left" vertical="top"/>
    </xf>
    <xf numFmtId="14" fontId="21" fillId="0" borderId="0" xfId="0" applyNumberFormat="1" applyFont="1" applyAlignment="1">
      <alignment horizontal="left"/>
    </xf>
    <xf numFmtId="0" fontId="6" fillId="0" borderId="0" xfId="0" applyFont="1" applyAlignment="1">
      <alignment horizontal="left"/>
    </xf>
    <xf numFmtId="9" fontId="5" fillId="2" borderId="0" xfId="2" applyFont="1" applyFill="1" applyAlignment="1">
      <alignment horizontal="left"/>
    </xf>
    <xf numFmtId="0" fontId="5" fillId="2" borderId="9" xfId="0" applyFont="1" applyFill="1" applyBorder="1" applyProtection="1">
      <protection locked="0"/>
    </xf>
    <xf numFmtId="14" fontId="5" fillId="2" borderId="9" xfId="0" applyNumberFormat="1" applyFont="1" applyFill="1" applyBorder="1" applyAlignment="1" applyProtection="1">
      <alignment horizontal="center"/>
      <protection locked="0"/>
    </xf>
    <xf numFmtId="14" fontId="5" fillId="2" borderId="9" xfId="0" applyNumberFormat="1" applyFont="1" applyFill="1" applyBorder="1" applyProtection="1">
      <protection locked="0"/>
    </xf>
    <xf numFmtId="0" fontId="5" fillId="2" borderId="9" xfId="0" applyFont="1" applyFill="1" applyBorder="1" applyAlignment="1" applyProtection="1">
      <alignment horizontal="center"/>
      <protection locked="0"/>
    </xf>
    <xf numFmtId="165" fontId="5" fillId="4" borderId="9" xfId="3" applyNumberFormat="1" applyFont="1" applyFill="1" applyBorder="1" applyProtection="1"/>
    <xf numFmtId="1" fontId="31" fillId="4" borderId="9" xfId="3" applyNumberFormat="1" applyFont="1" applyFill="1" applyBorder="1" applyAlignment="1" applyProtection="1">
      <alignment horizontal="center"/>
    </xf>
    <xf numFmtId="165" fontId="31" fillId="4" borderId="9" xfId="3" applyNumberFormat="1" applyFont="1" applyFill="1" applyBorder="1" applyProtection="1"/>
    <xf numFmtId="0" fontId="17" fillId="2" borderId="0" xfId="0" applyFont="1" applyFill="1" applyAlignment="1">
      <alignment horizontal="left" vertical="top"/>
    </xf>
    <xf numFmtId="0" fontId="22" fillId="2" borderId="0" xfId="0" applyFont="1" applyFill="1" applyAlignment="1">
      <alignment horizontal="left" vertical="top"/>
    </xf>
    <xf numFmtId="0" fontId="33" fillId="2" borderId="0" xfId="0" applyFont="1" applyFill="1" applyAlignment="1">
      <alignment horizontal="left" vertical="top"/>
    </xf>
    <xf numFmtId="0" fontId="34" fillId="2" borderId="0" xfId="4" applyFont="1" applyFill="1" applyAlignment="1" applyProtection="1">
      <alignment horizontal="left" vertical="top"/>
    </xf>
    <xf numFmtId="0" fontId="36" fillId="0" borderId="0" xfId="0" applyFont="1" applyAlignment="1">
      <alignment horizontal="left" vertical="top" readingOrder="1"/>
    </xf>
    <xf numFmtId="0" fontId="5" fillId="2" borderId="9" xfId="0" applyFont="1" applyFill="1" applyBorder="1" applyAlignment="1" applyProtection="1">
      <alignment horizontal="left"/>
      <protection locked="0"/>
    </xf>
    <xf numFmtId="167" fontId="31" fillId="4" borderId="9" xfId="3" applyNumberFormat="1" applyFont="1" applyFill="1" applyBorder="1" applyProtection="1"/>
    <xf numFmtId="165" fontId="31" fillId="4" borderId="11" xfId="3" applyNumberFormat="1" applyFont="1" applyFill="1" applyBorder="1" applyProtection="1"/>
    <xf numFmtId="167" fontId="31" fillId="4" borderId="9" xfId="0" applyNumberFormat="1" applyFont="1" applyFill="1" applyBorder="1" applyAlignment="1">
      <alignment horizontal="center"/>
    </xf>
    <xf numFmtId="165" fontId="17" fillId="0" borderId="0" xfId="3" applyNumberFormat="1" applyFont="1" applyFill="1" applyBorder="1" applyProtection="1"/>
    <xf numFmtId="165" fontId="5" fillId="0" borderId="9" xfId="3" applyNumberFormat="1" applyFont="1" applyFill="1" applyBorder="1" applyProtection="1">
      <protection locked="0"/>
    </xf>
    <xf numFmtId="9" fontId="5" fillId="0" borderId="9" xfId="2" applyFont="1" applyFill="1" applyBorder="1" applyAlignment="1" applyProtection="1">
      <alignment horizontal="center"/>
      <protection locked="0"/>
    </xf>
    <xf numFmtId="1" fontId="24" fillId="0" borderId="0" xfId="3" applyNumberFormat="1" applyFont="1" applyFill="1" applyBorder="1" applyAlignment="1" applyProtection="1">
      <alignment horizontal="center"/>
    </xf>
    <xf numFmtId="165" fontId="24" fillId="0" borderId="0" xfId="3" applyNumberFormat="1" applyFont="1" applyFill="1" applyBorder="1" applyProtection="1"/>
    <xf numFmtId="9" fontId="17" fillId="0" borderId="0" xfId="2" applyFont="1" applyFill="1" applyBorder="1" applyAlignment="1" applyProtection="1">
      <alignment horizontal="center"/>
    </xf>
    <xf numFmtId="0" fontId="5" fillId="4" borderId="9" xfId="0" applyFont="1" applyFill="1" applyBorder="1" applyAlignment="1">
      <alignment horizontal="center"/>
    </xf>
    <xf numFmtId="1" fontId="5" fillId="4" borderId="9" xfId="3" applyNumberFormat="1" applyFont="1" applyFill="1" applyBorder="1" applyAlignment="1" applyProtection="1">
      <alignment horizontal="center"/>
    </xf>
    <xf numFmtId="0" fontId="17" fillId="4" borderId="0" xfId="0" applyFont="1" applyFill="1"/>
    <xf numFmtId="0" fontId="17" fillId="2" borderId="1" xfId="0" applyFont="1" applyFill="1" applyBorder="1"/>
    <xf numFmtId="0" fontId="17" fillId="2" borderId="2" xfId="0" applyFont="1" applyFill="1" applyBorder="1"/>
    <xf numFmtId="0" fontId="24" fillId="2" borderId="2" xfId="0" applyFont="1" applyFill="1" applyBorder="1"/>
    <xf numFmtId="0" fontId="17" fillId="0" borderId="2" xfId="0" applyFont="1" applyBorder="1"/>
    <xf numFmtId="0" fontId="24" fillId="0" borderId="2" xfId="0" applyFont="1" applyBorder="1"/>
    <xf numFmtId="0" fontId="17" fillId="0" borderId="3" xfId="0" applyFont="1" applyBorder="1"/>
    <xf numFmtId="0" fontId="24" fillId="4" borderId="0" xfId="0" applyFont="1" applyFill="1"/>
    <xf numFmtId="0" fontId="17" fillId="2" borderId="4" xfId="0" applyFont="1" applyFill="1" applyBorder="1"/>
    <xf numFmtId="0" fontId="26" fillId="2" borderId="0" xfId="0" applyFont="1" applyFill="1" applyAlignment="1">
      <alignment horizontal="left"/>
    </xf>
    <xf numFmtId="0" fontId="27" fillId="2" borderId="0" xfId="0" applyFont="1" applyFill="1"/>
    <xf numFmtId="0" fontId="28" fillId="2" borderId="0" xfId="0" applyFont="1" applyFill="1"/>
    <xf numFmtId="14" fontId="29" fillId="2" borderId="0" xfId="0" applyNumberFormat="1" applyFont="1" applyFill="1"/>
    <xf numFmtId="0" fontId="17" fillId="0" borderId="0" xfId="0" applyFont="1"/>
    <xf numFmtId="0" fontId="24" fillId="0" borderId="0" xfId="0" applyFont="1"/>
    <xf numFmtId="14" fontId="29" fillId="0" borderId="0" xfId="0" applyNumberFormat="1" applyFont="1"/>
    <xf numFmtId="14" fontId="37" fillId="0" borderId="0" xfId="0" applyNumberFormat="1" applyFont="1" applyAlignment="1">
      <alignment horizontal="left"/>
    </xf>
    <xf numFmtId="0" fontId="17" fillId="2" borderId="0" xfId="0" applyFont="1" applyFill="1"/>
    <xf numFmtId="0" fontId="17" fillId="0" borderId="5" xfId="0" applyFont="1" applyBorder="1"/>
    <xf numFmtId="14" fontId="24" fillId="4" borderId="0" xfId="0" applyNumberFormat="1" applyFont="1" applyFill="1"/>
    <xf numFmtId="0" fontId="25" fillId="2" borderId="0" xfId="0" applyFont="1" applyFill="1" applyAlignment="1">
      <alignment horizontal="left"/>
    </xf>
    <xf numFmtId="0" fontId="24" fillId="2" borderId="0" xfId="0" applyFont="1" applyFill="1"/>
    <xf numFmtId="0" fontId="22" fillId="0" borderId="0" xfId="0" applyFont="1"/>
    <xf numFmtId="0" fontId="23" fillId="2" borderId="0" xfId="0" applyFont="1" applyFill="1" applyAlignment="1">
      <alignment horizontal="left"/>
    </xf>
    <xf numFmtId="0" fontId="24" fillId="0" borderId="0" xfId="0" applyFont="1" applyAlignment="1">
      <alignment horizontal="center"/>
    </xf>
    <xf numFmtId="0" fontId="31" fillId="4" borderId="0" xfId="0" applyFont="1" applyFill="1"/>
    <xf numFmtId="0" fontId="6" fillId="2" borderId="9" xfId="0" applyFont="1" applyFill="1" applyBorder="1" applyAlignment="1">
      <alignment horizontal="left" vertical="top" wrapText="1"/>
    </xf>
    <xf numFmtId="0" fontId="6" fillId="2" borderId="9" xfId="0" applyFont="1" applyFill="1" applyBorder="1" applyAlignment="1">
      <alignment horizontal="center" vertical="top" wrapText="1"/>
    </xf>
    <xf numFmtId="0" fontId="6" fillId="0" borderId="9" xfId="0" applyFont="1" applyBorder="1" applyAlignment="1">
      <alignment horizontal="center" vertical="top" wrapText="1"/>
    </xf>
    <xf numFmtId="9" fontId="6" fillId="0" borderId="9" xfId="0" applyNumberFormat="1" applyFont="1" applyBorder="1" applyAlignment="1">
      <alignment horizontal="center" vertical="top" wrapText="1"/>
    </xf>
    <xf numFmtId="0" fontId="30" fillId="0" borderId="9" xfId="0" applyFont="1" applyBorder="1" applyAlignment="1">
      <alignment horizontal="center" vertical="top" wrapText="1"/>
    </xf>
    <xf numFmtId="0" fontId="32" fillId="0" borderId="9" xfId="0" applyFont="1" applyBorder="1" applyAlignment="1">
      <alignment horizontal="center" vertical="top" wrapText="1"/>
    </xf>
    <xf numFmtId="0" fontId="6" fillId="0" borderId="0" xfId="0" applyFont="1" applyAlignment="1">
      <alignment horizontal="center" vertical="top" wrapText="1"/>
    </xf>
    <xf numFmtId="0" fontId="38" fillId="2" borderId="11" xfId="0" applyFont="1" applyFill="1" applyBorder="1" applyAlignment="1">
      <alignment horizontal="center" vertical="top" wrapText="1"/>
    </xf>
    <xf numFmtId="1" fontId="31" fillId="4" borderId="9" xfId="0" applyNumberFormat="1" applyFont="1" applyFill="1" applyBorder="1" applyAlignment="1">
      <alignment horizontal="center"/>
    </xf>
    <xf numFmtId="164" fontId="31" fillId="4" borderId="9" xfId="0" applyNumberFormat="1" applyFont="1" applyFill="1" applyBorder="1"/>
    <xf numFmtId="165" fontId="31" fillId="4" borderId="9" xfId="0" applyNumberFormat="1" applyFont="1" applyFill="1" applyBorder="1"/>
    <xf numFmtId="1" fontId="31" fillId="4" borderId="9" xfId="0" applyNumberFormat="1" applyFont="1" applyFill="1" applyBorder="1"/>
    <xf numFmtId="1" fontId="5" fillId="4" borderId="9" xfId="0" applyNumberFormat="1" applyFont="1" applyFill="1" applyBorder="1"/>
    <xf numFmtId="14" fontId="5" fillId="4" borderId="9" xfId="0" applyNumberFormat="1" applyFont="1" applyFill="1" applyBorder="1"/>
    <xf numFmtId="14" fontId="31" fillId="4" borderId="9" xfId="0" applyNumberFormat="1" applyFont="1" applyFill="1" applyBorder="1"/>
    <xf numFmtId="1" fontId="5" fillId="4" borderId="9" xfId="0" applyNumberFormat="1" applyFont="1" applyFill="1" applyBorder="1" applyAlignment="1">
      <alignment horizontal="center"/>
    </xf>
    <xf numFmtId="165" fontId="5" fillId="4" borderId="9" xfId="0" applyNumberFormat="1" applyFont="1" applyFill="1" applyBorder="1"/>
    <xf numFmtId="9" fontId="5" fillId="4" borderId="9" xfId="2" applyFont="1" applyFill="1" applyBorder="1" applyAlignment="1" applyProtection="1">
      <alignment horizontal="center"/>
    </xf>
    <xf numFmtId="165" fontId="9" fillId="4" borderId="9" xfId="0" applyNumberFormat="1" applyFont="1" applyFill="1" applyBorder="1" applyAlignment="1">
      <alignment horizontal="left" vertical="top" wrapText="1"/>
    </xf>
    <xf numFmtId="165" fontId="5" fillId="4" borderId="9" xfId="0" applyNumberFormat="1" applyFont="1" applyFill="1" applyBorder="1" applyAlignment="1">
      <alignment horizontal="left" vertical="top" wrapText="1"/>
    </xf>
    <xf numFmtId="165" fontId="31" fillId="4" borderId="11" xfId="0" applyNumberFormat="1" applyFont="1" applyFill="1" applyBorder="1"/>
    <xf numFmtId="14" fontId="17" fillId="2" borderId="0" xfId="0" applyNumberFormat="1" applyFont="1" applyFill="1" applyAlignment="1">
      <alignment horizontal="center"/>
    </xf>
    <xf numFmtId="14" fontId="24" fillId="2" borderId="0" xfId="0" applyNumberFormat="1" applyFont="1" applyFill="1" applyAlignment="1">
      <alignment horizontal="center"/>
    </xf>
    <xf numFmtId="1" fontId="24" fillId="2" borderId="0" xfId="0" applyNumberFormat="1" applyFont="1" applyFill="1" applyAlignment="1">
      <alignment horizontal="center"/>
    </xf>
    <xf numFmtId="14" fontId="17" fillId="2" borderId="0" xfId="0" applyNumberFormat="1" applyFont="1" applyFill="1"/>
    <xf numFmtId="164" fontId="24" fillId="0" borderId="0" xfId="0" applyNumberFormat="1" applyFont="1"/>
    <xf numFmtId="165" fontId="24" fillId="0" borderId="0" xfId="0" applyNumberFormat="1" applyFont="1"/>
    <xf numFmtId="14" fontId="17" fillId="0" borderId="0" xfId="0" applyNumberFormat="1" applyFont="1"/>
    <xf numFmtId="14" fontId="24" fillId="0" borderId="0" xfId="0" applyNumberFormat="1" applyFont="1"/>
    <xf numFmtId="0" fontId="17" fillId="0" borderId="0" xfId="0" applyFont="1" applyAlignment="1">
      <alignment horizontal="center"/>
    </xf>
    <xf numFmtId="1" fontId="17" fillId="0" borderId="0" xfId="0" applyNumberFormat="1" applyFont="1" applyAlignment="1">
      <alignment horizontal="center"/>
    </xf>
    <xf numFmtId="165" fontId="17" fillId="0" borderId="0" xfId="0" applyNumberFormat="1" applyFont="1"/>
    <xf numFmtId="165" fontId="22" fillId="0" borderId="0" xfId="0" applyNumberFormat="1" applyFont="1" applyAlignment="1">
      <alignment horizontal="left" vertical="top" wrapText="1"/>
    </xf>
    <xf numFmtId="0" fontId="39" fillId="4" borderId="0" xfId="0" applyFont="1" applyFill="1"/>
    <xf numFmtId="0" fontId="17" fillId="2" borderId="6" xfId="0" applyFont="1" applyFill="1" applyBorder="1"/>
    <xf numFmtId="0" fontId="17" fillId="2" borderId="7" xfId="0" applyFont="1" applyFill="1" applyBorder="1"/>
    <xf numFmtId="0" fontId="24" fillId="2" borderId="7" xfId="0" applyFont="1" applyFill="1" applyBorder="1"/>
    <xf numFmtId="0" fontId="17" fillId="0" borderId="7" xfId="0" applyFont="1" applyBorder="1"/>
    <xf numFmtId="0" fontId="24" fillId="0" borderId="7" xfId="0" applyFont="1" applyBorder="1"/>
    <xf numFmtId="0" fontId="24" fillId="0" borderId="7" xfId="0" applyFont="1" applyBorder="1" applyAlignment="1">
      <alignment horizontal="center"/>
    </xf>
    <xf numFmtId="0" fontId="17" fillId="0" borderId="7" xfId="0" applyFont="1" applyBorder="1" applyAlignment="1">
      <alignment horizontal="center"/>
    </xf>
    <xf numFmtId="0" fontId="17" fillId="0" borderId="8" xfId="0" applyFont="1" applyBorder="1"/>
    <xf numFmtId="165" fontId="5" fillId="2" borderId="9" xfId="3" applyNumberFormat="1" applyFont="1" applyFill="1" applyBorder="1" applyAlignment="1" applyProtection="1">
      <alignment horizontal="center"/>
      <protection locked="0"/>
    </xf>
    <xf numFmtId="14" fontId="5" fillId="0" borderId="0" xfId="0" applyNumberFormat="1" applyFont="1" applyAlignment="1">
      <alignment horizontal="center"/>
    </xf>
    <xf numFmtId="0" fontId="22" fillId="5" borderId="0" xfId="0" applyFont="1" applyFill="1" applyAlignment="1">
      <alignment horizontal="left"/>
    </xf>
    <xf numFmtId="0" fontId="17" fillId="5" borderId="0" xfId="0" applyFont="1" applyFill="1"/>
    <xf numFmtId="165" fontId="22" fillId="5" borderId="0" xfId="0" applyNumberFormat="1" applyFont="1" applyFill="1"/>
    <xf numFmtId="0" fontId="40" fillId="2" borderId="0" xfId="0" applyFont="1" applyFill="1" applyAlignment="1">
      <alignment horizontal="left"/>
    </xf>
    <xf numFmtId="168" fontId="5" fillId="0" borderId="0" xfId="2" applyNumberFormat="1" applyFont="1" applyAlignment="1">
      <alignment horizontal="left"/>
    </xf>
    <xf numFmtId="0" fontId="32" fillId="2" borderId="9" xfId="0" applyFont="1" applyFill="1" applyBorder="1" applyAlignment="1">
      <alignment horizontal="center" vertical="top" wrapText="1"/>
    </xf>
    <xf numFmtId="0" fontId="6" fillId="2" borderId="0" xfId="0" applyFont="1" applyFill="1" applyAlignment="1">
      <alignment horizontal="center" vertical="top" wrapText="1"/>
    </xf>
    <xf numFmtId="165" fontId="5" fillId="4" borderId="0" xfId="3" applyNumberFormat="1" applyFont="1" applyFill="1" applyBorder="1" applyProtection="1"/>
    <xf numFmtId="165" fontId="5" fillId="4" borderId="0" xfId="0" applyNumberFormat="1" applyFont="1" applyFill="1"/>
    <xf numFmtId="165" fontId="42" fillId="5" borderId="0" xfId="0" applyNumberFormat="1" applyFont="1" applyFill="1"/>
    <xf numFmtId="0" fontId="0" fillId="0" borderId="2" xfId="0" applyBorder="1"/>
    <xf numFmtId="167" fontId="0" fillId="0" borderId="0" xfId="0" applyNumberFormat="1"/>
    <xf numFmtId="0" fontId="17" fillId="2" borderId="0" xfId="0" applyFont="1" applyFill="1" applyAlignment="1">
      <alignment horizontal="center"/>
    </xf>
    <xf numFmtId="9" fontId="5" fillId="3" borderId="0" xfId="2" quotePrefix="1" applyFont="1" applyFill="1" applyAlignment="1" applyProtection="1">
      <alignment horizontal="left"/>
      <protection locked="0"/>
    </xf>
    <xf numFmtId="9" fontId="5" fillId="3" borderId="0" xfId="2" applyFont="1" applyFill="1" applyAlignment="1" applyProtection="1">
      <alignment horizontal="left"/>
      <protection locked="0"/>
    </xf>
    <xf numFmtId="2" fontId="5" fillId="3" borderId="0" xfId="0" applyNumberFormat="1" applyFont="1" applyFill="1" applyProtection="1">
      <protection locked="0"/>
    </xf>
    <xf numFmtId="0" fontId="5" fillId="3" borderId="0" xfId="0" applyFont="1" applyFill="1" applyProtection="1">
      <protection locked="0"/>
    </xf>
    <xf numFmtId="164" fontId="5" fillId="3" borderId="0" xfId="3" applyFont="1" applyFill="1" applyProtection="1">
      <protection locked="0"/>
    </xf>
    <xf numFmtId="0" fontId="5" fillId="3" borderId="0" xfId="0" applyFont="1" applyFill="1" applyAlignment="1" applyProtection="1">
      <alignment horizontal="left"/>
      <protection locked="0"/>
    </xf>
    <xf numFmtId="14" fontId="21" fillId="0" borderId="0" xfId="0" applyNumberFormat="1" applyFont="1" applyAlignment="1" applyProtection="1">
      <alignment horizontal="left"/>
      <protection locked="0"/>
    </xf>
    <xf numFmtId="0" fontId="0" fillId="4" borderId="0" xfId="0" applyFill="1"/>
    <xf numFmtId="14" fontId="0" fillId="4" borderId="0" xfId="0" applyNumberFormat="1" applyFill="1"/>
    <xf numFmtId="0" fontId="0" fillId="5" borderId="0" xfId="0" applyFill="1"/>
    <xf numFmtId="0" fontId="0" fillId="4" borderId="0" xfId="0" applyFill="1" applyAlignment="1">
      <alignment horizontal="center" vertical="center"/>
    </xf>
    <xf numFmtId="3" fontId="0" fillId="4" borderId="0" xfId="0" applyNumberFormat="1" applyFill="1"/>
    <xf numFmtId="14" fontId="31" fillId="4" borderId="9" xfId="0" applyNumberFormat="1" applyFont="1" applyFill="1" applyBorder="1" applyAlignment="1" applyProtection="1">
      <alignment horizontal="center"/>
      <protection locked="0"/>
    </xf>
    <xf numFmtId="1" fontId="31" fillId="4" borderId="9" xfId="0" applyNumberFormat="1" applyFont="1" applyFill="1" applyBorder="1" applyAlignment="1" applyProtection="1">
      <alignment horizontal="center"/>
      <protection locked="0"/>
    </xf>
    <xf numFmtId="0" fontId="7" fillId="0" borderId="0" xfId="4" applyAlignment="1" applyProtection="1">
      <alignment horizontal="left"/>
    </xf>
    <xf numFmtId="0" fontId="17" fillId="2" borderId="0" xfId="0" applyFont="1" applyFill="1" applyAlignment="1">
      <alignment horizontal="left" vertical="top" wrapText="1"/>
    </xf>
    <xf numFmtId="0" fontId="35" fillId="2" borderId="0" xfId="0" applyFont="1" applyFill="1" applyAlignment="1">
      <alignment horizontal="left" vertical="top" wrapText="1"/>
    </xf>
    <xf numFmtId="0" fontId="24" fillId="0" borderId="10" xfId="0" applyFont="1" applyBorder="1" applyAlignment="1">
      <alignment horizontal="center"/>
    </xf>
    <xf numFmtId="0" fontId="17" fillId="2" borderId="0" xfId="0" applyFont="1" applyFill="1" applyAlignment="1">
      <alignment horizontal="center"/>
    </xf>
    <xf numFmtId="1" fontId="5" fillId="3" borderId="0" xfId="0" applyNumberFormat="1" applyFont="1" applyFill="1" applyAlignment="1" applyProtection="1">
      <alignment horizontal="center"/>
      <protection locked="0"/>
    </xf>
    <xf numFmtId="14" fontId="5" fillId="3" borderId="0" xfId="0" applyNumberFormat="1" applyFont="1" applyFill="1" applyAlignment="1" applyProtection="1">
      <alignment horizontal="center"/>
      <protection locked="0"/>
    </xf>
    <xf numFmtId="14" fontId="21" fillId="3" borderId="0" xfId="0" applyNumberFormat="1" applyFont="1" applyFill="1" applyAlignment="1" applyProtection="1">
      <alignment horizontal="left"/>
      <protection locked="0"/>
    </xf>
  </cellXfs>
  <cellStyles count="5">
    <cellStyle name="Euro" xfId="1" xr:uid="{00000000-0005-0000-0000-000000000000}"/>
    <cellStyle name="Hyperlink" xfId="4" builtinId="8"/>
    <cellStyle name="Procent" xfId="2" builtinId="5"/>
    <cellStyle name="Standaard" xfId="0" builtinId="0"/>
    <cellStyle name="Valuta" xfId="3"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11</xdr:col>
      <xdr:colOff>281940</xdr:colOff>
      <xdr:row>2</xdr:row>
      <xdr:rowOff>50353</xdr:rowOff>
    </xdr:from>
    <xdr:to>
      <xdr:col>13</xdr:col>
      <xdr:colOff>99060</xdr:colOff>
      <xdr:row>3</xdr:row>
      <xdr:rowOff>175260</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278880" y="385633"/>
          <a:ext cx="1036320" cy="35350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218498</xdr:colOff>
      <xdr:row>31</xdr:row>
      <xdr:rowOff>8700</xdr:rowOff>
    </xdr:to>
    <xdr:pic>
      <xdr:nvPicPr>
        <xdr:cNvPr id="2" name="Afbeelding 1">
          <a:extLst>
            <a:ext uri="{FF2B5EF4-FFF2-40B4-BE49-F238E27FC236}">
              <a16:creationId xmlns:a16="http://schemas.microsoft.com/office/drawing/2014/main" id="{A8294B76-8E21-4874-AEF8-6CBD8C8F5B46}"/>
            </a:ext>
          </a:extLst>
        </xdr:cNvPr>
        <xdr:cNvPicPr>
          <a:picLocks noChangeAspect="1"/>
        </xdr:cNvPicPr>
      </xdr:nvPicPr>
      <xdr:blipFill>
        <a:blip xmlns:r="http://schemas.openxmlformats.org/officeDocument/2006/relationships" r:embed="rId1"/>
        <a:stretch>
          <a:fillRect/>
        </a:stretch>
      </xdr:blipFill>
      <xdr:spPr>
        <a:xfrm>
          <a:off x="0" y="0"/>
          <a:ext cx="3266498" cy="4361625"/>
        </a:xfrm>
        <a:prstGeom prst="rect">
          <a:avLst/>
        </a:prstGeom>
      </xdr:spPr>
    </xdr:pic>
    <xdr:clientData/>
  </xdr:twoCellAnchor>
  <xdr:twoCellAnchor>
    <xdr:from>
      <xdr:col>8</xdr:col>
      <xdr:colOff>285750</xdr:colOff>
      <xdr:row>1</xdr:row>
      <xdr:rowOff>47625</xdr:rowOff>
    </xdr:from>
    <xdr:to>
      <xdr:col>8</xdr:col>
      <xdr:colOff>457200</xdr:colOff>
      <xdr:row>2</xdr:row>
      <xdr:rowOff>142875</xdr:rowOff>
    </xdr:to>
    <xdr:sp macro="" textlink="">
      <xdr:nvSpPr>
        <xdr:cNvPr id="3" name="Pijl: omlaag 2">
          <a:extLst>
            <a:ext uri="{FF2B5EF4-FFF2-40B4-BE49-F238E27FC236}">
              <a16:creationId xmlns:a16="http://schemas.microsoft.com/office/drawing/2014/main" id="{5FB0C5DE-23D4-47F8-9D39-20234B3E281E}"/>
            </a:ext>
          </a:extLst>
        </xdr:cNvPr>
        <xdr:cNvSpPr/>
      </xdr:nvSpPr>
      <xdr:spPr>
        <a:xfrm>
          <a:off x="5248275" y="238125"/>
          <a:ext cx="171450" cy="285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editAs="oneCell">
    <xdr:from>
      <xdr:col>14</xdr:col>
      <xdr:colOff>28575</xdr:colOff>
      <xdr:row>0</xdr:row>
      <xdr:rowOff>0</xdr:rowOff>
    </xdr:from>
    <xdr:to>
      <xdr:col>19</xdr:col>
      <xdr:colOff>266151</xdr:colOff>
      <xdr:row>5</xdr:row>
      <xdr:rowOff>114762</xdr:rowOff>
    </xdr:to>
    <xdr:pic>
      <xdr:nvPicPr>
        <xdr:cNvPr id="4" name="Afbeelding 3">
          <a:extLst>
            <a:ext uri="{FF2B5EF4-FFF2-40B4-BE49-F238E27FC236}">
              <a16:creationId xmlns:a16="http://schemas.microsoft.com/office/drawing/2014/main" id="{DEBE9CFB-C63F-4348-8E0A-719046CBDA24}"/>
            </a:ext>
          </a:extLst>
        </xdr:cNvPr>
        <xdr:cNvPicPr>
          <a:picLocks noChangeAspect="1"/>
        </xdr:cNvPicPr>
      </xdr:nvPicPr>
      <xdr:blipFill>
        <a:blip xmlns:r="http://schemas.openxmlformats.org/officeDocument/2006/relationships" r:embed="rId2"/>
        <a:stretch>
          <a:fillRect/>
        </a:stretch>
      </xdr:blipFill>
      <xdr:spPr>
        <a:xfrm>
          <a:off x="8648700" y="0"/>
          <a:ext cx="3285576" cy="876762"/>
        </a:xfrm>
        <a:prstGeom prst="rect">
          <a:avLst/>
        </a:prstGeom>
      </xdr:spPr>
    </xdr:pic>
    <xdr:clientData/>
  </xdr:twoCellAnchor>
  <xdr:twoCellAnchor editAs="oneCell">
    <xdr:from>
      <xdr:col>13</xdr:col>
      <xdr:colOff>609599</xdr:colOff>
      <xdr:row>5</xdr:row>
      <xdr:rowOff>47625</xdr:rowOff>
    </xdr:from>
    <xdr:to>
      <xdr:col>19</xdr:col>
      <xdr:colOff>389986</xdr:colOff>
      <xdr:row>12</xdr:row>
      <xdr:rowOff>11565</xdr:rowOff>
    </xdr:to>
    <xdr:pic>
      <xdr:nvPicPr>
        <xdr:cNvPr id="5" name="Afbeelding 4">
          <a:extLst>
            <a:ext uri="{FF2B5EF4-FFF2-40B4-BE49-F238E27FC236}">
              <a16:creationId xmlns:a16="http://schemas.microsoft.com/office/drawing/2014/main" id="{5E165D2C-5FFE-4FD0-8401-662674EFDCEE}"/>
            </a:ext>
          </a:extLst>
        </xdr:cNvPr>
        <xdr:cNvPicPr>
          <a:picLocks noChangeAspect="1"/>
        </xdr:cNvPicPr>
      </xdr:nvPicPr>
      <xdr:blipFill>
        <a:blip xmlns:r="http://schemas.openxmlformats.org/officeDocument/2006/relationships" r:embed="rId3"/>
        <a:stretch>
          <a:fillRect/>
        </a:stretch>
      </xdr:blipFill>
      <xdr:spPr>
        <a:xfrm>
          <a:off x="8620124" y="809625"/>
          <a:ext cx="3437987" cy="1030740"/>
        </a:xfrm>
        <a:prstGeom prst="rect">
          <a:avLst/>
        </a:prstGeom>
      </xdr:spPr>
    </xdr:pic>
    <xdr:clientData/>
  </xdr:twoCellAnchor>
  <xdr:twoCellAnchor editAs="oneCell">
    <xdr:from>
      <xdr:col>13</xdr:col>
      <xdr:colOff>603185</xdr:colOff>
      <xdr:row>12</xdr:row>
      <xdr:rowOff>38100</xdr:rowOff>
    </xdr:from>
    <xdr:to>
      <xdr:col>19</xdr:col>
      <xdr:colOff>242802</xdr:colOff>
      <xdr:row>29</xdr:row>
      <xdr:rowOff>142459</xdr:rowOff>
    </xdr:to>
    <xdr:pic>
      <xdr:nvPicPr>
        <xdr:cNvPr id="6" name="Afbeelding 5">
          <a:extLst>
            <a:ext uri="{FF2B5EF4-FFF2-40B4-BE49-F238E27FC236}">
              <a16:creationId xmlns:a16="http://schemas.microsoft.com/office/drawing/2014/main" id="{0F67E028-D963-4D5B-8C30-8305E7F381C9}"/>
            </a:ext>
          </a:extLst>
        </xdr:cNvPr>
        <xdr:cNvPicPr>
          <a:picLocks noChangeAspect="1"/>
        </xdr:cNvPicPr>
      </xdr:nvPicPr>
      <xdr:blipFill>
        <a:blip xmlns:r="http://schemas.openxmlformats.org/officeDocument/2006/relationships" r:embed="rId4"/>
        <a:stretch>
          <a:fillRect/>
        </a:stretch>
      </xdr:blipFill>
      <xdr:spPr>
        <a:xfrm>
          <a:off x="8613710" y="1866900"/>
          <a:ext cx="3297217" cy="2695159"/>
        </a:xfrm>
        <a:prstGeom prst="rect">
          <a:avLst/>
        </a:prstGeom>
      </xdr:spPr>
    </xdr:pic>
    <xdr:clientData/>
  </xdr:twoCellAnchor>
  <xdr:twoCellAnchor>
    <xdr:from>
      <xdr:col>7</xdr:col>
      <xdr:colOff>323850</xdr:colOff>
      <xdr:row>8</xdr:row>
      <xdr:rowOff>47625</xdr:rowOff>
    </xdr:from>
    <xdr:to>
      <xdr:col>7</xdr:col>
      <xdr:colOff>495300</xdr:colOff>
      <xdr:row>9</xdr:row>
      <xdr:rowOff>142875</xdr:rowOff>
    </xdr:to>
    <xdr:sp macro="" textlink="">
      <xdr:nvSpPr>
        <xdr:cNvPr id="7" name="Pijl: omlaag 6">
          <a:extLst>
            <a:ext uri="{FF2B5EF4-FFF2-40B4-BE49-F238E27FC236}">
              <a16:creationId xmlns:a16="http://schemas.microsoft.com/office/drawing/2014/main" id="{40979D01-9CB2-450D-AFE4-FD17BD1218B4}"/>
            </a:ext>
          </a:extLst>
        </xdr:cNvPr>
        <xdr:cNvSpPr/>
      </xdr:nvSpPr>
      <xdr:spPr>
        <a:xfrm>
          <a:off x="4591050" y="1571625"/>
          <a:ext cx="171450" cy="285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10</xdr:col>
      <xdr:colOff>381000</xdr:colOff>
      <xdr:row>8</xdr:row>
      <xdr:rowOff>76200</xdr:rowOff>
    </xdr:from>
    <xdr:to>
      <xdr:col>10</xdr:col>
      <xdr:colOff>552450</xdr:colOff>
      <xdr:row>9</xdr:row>
      <xdr:rowOff>171450</xdr:rowOff>
    </xdr:to>
    <xdr:sp macro="" textlink="">
      <xdr:nvSpPr>
        <xdr:cNvPr id="8" name="Pijl: omlaag 7">
          <a:extLst>
            <a:ext uri="{FF2B5EF4-FFF2-40B4-BE49-F238E27FC236}">
              <a16:creationId xmlns:a16="http://schemas.microsoft.com/office/drawing/2014/main" id="{5C80302D-9C76-4F4E-9C3F-69ED77487B9D}"/>
            </a:ext>
          </a:extLst>
        </xdr:cNvPr>
        <xdr:cNvSpPr/>
      </xdr:nvSpPr>
      <xdr:spPr>
        <a:xfrm>
          <a:off x="6562725" y="1600200"/>
          <a:ext cx="171450" cy="285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9</xdr:col>
      <xdr:colOff>238125</xdr:colOff>
      <xdr:row>14</xdr:row>
      <xdr:rowOff>114300</xdr:rowOff>
    </xdr:from>
    <xdr:to>
      <xdr:col>9</xdr:col>
      <xdr:colOff>409575</xdr:colOff>
      <xdr:row>16</xdr:row>
      <xdr:rowOff>19050</xdr:rowOff>
    </xdr:to>
    <xdr:sp macro="" textlink="">
      <xdr:nvSpPr>
        <xdr:cNvPr id="9" name="Pijl: omlaag 8">
          <a:extLst>
            <a:ext uri="{FF2B5EF4-FFF2-40B4-BE49-F238E27FC236}">
              <a16:creationId xmlns:a16="http://schemas.microsoft.com/office/drawing/2014/main" id="{A017477D-D916-4347-A278-CE2E2D1ED7F6}"/>
            </a:ext>
          </a:extLst>
        </xdr:cNvPr>
        <xdr:cNvSpPr/>
      </xdr:nvSpPr>
      <xdr:spPr>
        <a:xfrm>
          <a:off x="5810250" y="2781300"/>
          <a:ext cx="171450" cy="285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247651</xdr:colOff>
      <xdr:row>29</xdr:row>
      <xdr:rowOff>23708</xdr:rowOff>
    </xdr:from>
    <xdr:to>
      <xdr:col>7</xdr:col>
      <xdr:colOff>598769</xdr:colOff>
      <xdr:row>44</xdr:row>
      <xdr:rowOff>28763</xdr:rowOff>
    </xdr:to>
    <xdr:pic>
      <xdr:nvPicPr>
        <xdr:cNvPr id="2" name="Afbeelding 1" descr="WOPO overzicht na 1-1-2020">
          <a:extLst>
            <a:ext uri="{FF2B5EF4-FFF2-40B4-BE49-F238E27FC236}">
              <a16:creationId xmlns:a16="http://schemas.microsoft.com/office/drawing/2014/main" id="{E997390E-67AA-447D-AF72-FD49FAE3E7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1" y="5421208"/>
          <a:ext cx="4262718" cy="2386305"/>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5751</xdr:colOff>
      <xdr:row>2</xdr:row>
      <xdr:rowOff>17182</xdr:rowOff>
    </xdr:from>
    <xdr:to>
      <xdr:col>8</xdr:col>
      <xdr:colOff>21292</xdr:colOff>
      <xdr:row>28</xdr:row>
      <xdr:rowOff>35769</xdr:rowOff>
    </xdr:to>
    <xdr:pic>
      <xdr:nvPicPr>
        <xdr:cNvPr id="3" name="Afbeelding 2">
          <a:extLst>
            <a:ext uri="{FF2B5EF4-FFF2-40B4-BE49-F238E27FC236}">
              <a16:creationId xmlns:a16="http://schemas.microsoft.com/office/drawing/2014/main" id="{445F0488-8766-478F-9E62-7B142A133D27}"/>
            </a:ext>
          </a:extLst>
        </xdr:cNvPr>
        <xdr:cNvPicPr>
          <a:picLocks noChangeAspect="1"/>
        </xdr:cNvPicPr>
      </xdr:nvPicPr>
      <xdr:blipFill>
        <a:blip xmlns:r="http://schemas.openxmlformats.org/officeDocument/2006/relationships" r:embed="rId2"/>
        <a:stretch>
          <a:fillRect/>
        </a:stretch>
      </xdr:blipFill>
      <xdr:spPr>
        <a:xfrm>
          <a:off x="259751" y="468032"/>
          <a:ext cx="4282741" cy="4806487"/>
        </a:xfrm>
        <a:prstGeom prst="rect">
          <a:avLst/>
        </a:prstGeom>
        <a:ln>
          <a:solidFill>
            <a:schemeClr val="accent1"/>
          </a:solidFill>
        </a:ln>
      </xdr:spPr>
    </xdr:pic>
    <xdr:clientData/>
  </xdr:twoCellAnchor>
  <xdr:twoCellAnchor editAs="oneCell">
    <xdr:from>
      <xdr:col>9</xdr:col>
      <xdr:colOff>-1</xdr:colOff>
      <xdr:row>1</xdr:row>
      <xdr:rowOff>283884</xdr:rowOff>
    </xdr:from>
    <xdr:to>
      <xdr:col>15</xdr:col>
      <xdr:colOff>590176</xdr:colOff>
      <xdr:row>9</xdr:row>
      <xdr:rowOff>91566</xdr:rowOff>
    </xdr:to>
    <xdr:pic>
      <xdr:nvPicPr>
        <xdr:cNvPr id="4" name="Afbeelding 3">
          <a:extLst>
            <a:ext uri="{FF2B5EF4-FFF2-40B4-BE49-F238E27FC236}">
              <a16:creationId xmlns:a16="http://schemas.microsoft.com/office/drawing/2014/main" id="{320F521F-F7E7-4BD1-83B2-22F544249184}"/>
            </a:ext>
          </a:extLst>
        </xdr:cNvPr>
        <xdr:cNvPicPr>
          <a:picLocks noChangeAspect="1"/>
        </xdr:cNvPicPr>
      </xdr:nvPicPr>
      <xdr:blipFill>
        <a:blip xmlns:r="http://schemas.openxmlformats.org/officeDocument/2006/relationships" r:embed="rId3"/>
        <a:stretch>
          <a:fillRect/>
        </a:stretch>
      </xdr:blipFill>
      <xdr:spPr>
        <a:xfrm>
          <a:off x="5087470" y="440766"/>
          <a:ext cx="4265706" cy="1608094"/>
        </a:xfrm>
        <a:prstGeom prst="rect">
          <a:avLst/>
        </a:prstGeom>
      </xdr:spPr>
    </xdr:pic>
    <xdr:clientData/>
  </xdr:twoCellAnchor>
  <xdr:twoCellAnchor editAs="oneCell">
    <xdr:from>
      <xdr:col>8</xdr:col>
      <xdr:colOff>590177</xdr:colOff>
      <xdr:row>9</xdr:row>
      <xdr:rowOff>231587</xdr:rowOff>
    </xdr:from>
    <xdr:to>
      <xdr:col>15</xdr:col>
      <xdr:colOff>584947</xdr:colOff>
      <xdr:row>20</xdr:row>
      <xdr:rowOff>47093</xdr:rowOff>
    </xdr:to>
    <xdr:pic>
      <xdr:nvPicPr>
        <xdr:cNvPr id="6" name="Afbeelding 5">
          <a:extLst>
            <a:ext uri="{FF2B5EF4-FFF2-40B4-BE49-F238E27FC236}">
              <a16:creationId xmlns:a16="http://schemas.microsoft.com/office/drawing/2014/main" id="{39A8C2FF-EFCB-4CB4-B3C1-F1B00FD17904}"/>
            </a:ext>
          </a:extLst>
        </xdr:cNvPr>
        <xdr:cNvPicPr>
          <a:picLocks noChangeAspect="1"/>
        </xdr:cNvPicPr>
      </xdr:nvPicPr>
      <xdr:blipFill>
        <a:blip xmlns:r="http://schemas.openxmlformats.org/officeDocument/2006/relationships" r:embed="rId4"/>
        <a:stretch>
          <a:fillRect/>
        </a:stretch>
      </xdr:blipFill>
      <xdr:spPr>
        <a:xfrm>
          <a:off x="5065059" y="2188881"/>
          <a:ext cx="4258235" cy="1787741"/>
        </a:xfrm>
        <a:prstGeom prst="rect">
          <a:avLst/>
        </a:prstGeom>
      </xdr:spPr>
    </xdr:pic>
    <xdr:clientData/>
  </xdr:twoCellAnchor>
  <xdr:twoCellAnchor editAs="oneCell">
    <xdr:from>
      <xdr:col>9</xdr:col>
      <xdr:colOff>29883</xdr:colOff>
      <xdr:row>20</xdr:row>
      <xdr:rowOff>141942</xdr:rowOff>
    </xdr:from>
    <xdr:to>
      <xdr:col>16</xdr:col>
      <xdr:colOff>7471</xdr:colOff>
      <xdr:row>32</xdr:row>
      <xdr:rowOff>138390</xdr:rowOff>
    </xdr:to>
    <xdr:pic>
      <xdr:nvPicPr>
        <xdr:cNvPr id="7" name="Afbeelding 6">
          <a:extLst>
            <a:ext uri="{FF2B5EF4-FFF2-40B4-BE49-F238E27FC236}">
              <a16:creationId xmlns:a16="http://schemas.microsoft.com/office/drawing/2014/main" id="{1325547F-A963-49D6-92CC-45E142068640}"/>
            </a:ext>
          </a:extLst>
        </xdr:cNvPr>
        <xdr:cNvPicPr>
          <a:picLocks noChangeAspect="1"/>
        </xdr:cNvPicPr>
      </xdr:nvPicPr>
      <xdr:blipFill>
        <a:blip xmlns:r="http://schemas.openxmlformats.org/officeDocument/2006/relationships" r:embed="rId5"/>
        <a:stretch>
          <a:fillRect/>
        </a:stretch>
      </xdr:blipFill>
      <xdr:spPr>
        <a:xfrm>
          <a:off x="4699001" y="4071471"/>
          <a:ext cx="4265705" cy="1879037"/>
        </a:xfrm>
        <a:prstGeom prst="rect">
          <a:avLst/>
        </a:prstGeom>
      </xdr:spPr>
    </xdr:pic>
    <xdr:clientData/>
  </xdr:twoCellAnchor>
  <xdr:twoCellAnchor editAs="oneCell">
    <xdr:from>
      <xdr:col>9</xdr:col>
      <xdr:colOff>74146</xdr:colOff>
      <xdr:row>33</xdr:row>
      <xdr:rowOff>77319</xdr:rowOff>
    </xdr:from>
    <xdr:to>
      <xdr:col>16</xdr:col>
      <xdr:colOff>104028</xdr:colOff>
      <xdr:row>43</xdr:row>
      <xdr:rowOff>112245</xdr:rowOff>
    </xdr:to>
    <xdr:pic>
      <xdr:nvPicPr>
        <xdr:cNvPr id="8" name="Afbeelding 7">
          <a:extLst>
            <a:ext uri="{FF2B5EF4-FFF2-40B4-BE49-F238E27FC236}">
              <a16:creationId xmlns:a16="http://schemas.microsoft.com/office/drawing/2014/main" id="{789C62E0-A3A4-4021-A74D-60B70E7D3752}"/>
            </a:ext>
          </a:extLst>
        </xdr:cNvPr>
        <xdr:cNvPicPr>
          <a:picLocks noChangeAspect="1"/>
        </xdr:cNvPicPr>
      </xdr:nvPicPr>
      <xdr:blipFill>
        <a:blip xmlns:r="http://schemas.openxmlformats.org/officeDocument/2006/relationships" r:embed="rId6"/>
        <a:stretch>
          <a:fillRect/>
        </a:stretch>
      </xdr:blipFill>
      <xdr:spPr>
        <a:xfrm>
          <a:off x="4769971" y="6163794"/>
          <a:ext cx="4297082" cy="1654176"/>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fpf.nl/actueel/modernisering-pf-nieuwe-manier-van-vergoeden-werkloosheidskosten"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www.uwv.nl/particulieren/bedragen/detail/maximumdagloon"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N39"/>
  <sheetViews>
    <sheetView tabSelected="1" zoomScale="90" zoomScaleNormal="90" workbookViewId="0">
      <selection activeCell="C36" sqref="C36"/>
    </sheetView>
  </sheetViews>
  <sheetFormatPr defaultColWidth="8.85546875" defaultRowHeight="12.75" x14ac:dyDescent="0.2"/>
  <cols>
    <col min="1" max="1" width="3.5703125" style="7" customWidth="1"/>
    <col min="2" max="2" width="2.5703125" style="7" customWidth="1"/>
    <col min="3" max="3" width="25.7109375" style="7" customWidth="1"/>
    <col min="4" max="4" width="11" style="7" bestFit="1" customWidth="1"/>
    <col min="5" max="9" width="8.85546875" style="7"/>
    <col min="10" max="10" width="12.5703125" style="7" bestFit="1" customWidth="1"/>
    <col min="11" max="13" width="8.85546875" style="7"/>
    <col min="14" max="14" width="2.85546875" style="7" customWidth="1"/>
    <col min="15" max="15" width="2.5703125" style="7" customWidth="1"/>
    <col min="16" max="16384" width="8.85546875" style="7"/>
  </cols>
  <sheetData>
    <row r="1" spans="3:14" ht="15" customHeight="1" x14ac:dyDescent="0.2">
      <c r="C1" s="23"/>
      <c r="D1" s="23"/>
      <c r="E1" s="23"/>
      <c r="F1" s="23"/>
      <c r="G1" s="23"/>
      <c r="H1" s="23"/>
      <c r="I1" s="23"/>
      <c r="J1" s="23"/>
      <c r="K1" s="23"/>
      <c r="L1" s="23"/>
      <c r="M1" s="23"/>
    </row>
    <row r="2" spans="3:14" ht="15" customHeight="1" x14ac:dyDescent="0.2">
      <c r="C2" s="23"/>
      <c r="D2" s="23"/>
      <c r="E2" s="23"/>
      <c r="F2" s="23"/>
      <c r="G2" s="23"/>
      <c r="H2" s="23"/>
      <c r="I2" s="23"/>
      <c r="J2" s="23"/>
      <c r="K2" s="23"/>
      <c r="L2" s="23"/>
      <c r="M2" s="23"/>
    </row>
    <row r="3" spans="3:14" s="10" customFormat="1" ht="20.100000000000001" customHeight="1" x14ac:dyDescent="0.3">
      <c r="C3" s="24" t="s">
        <v>0</v>
      </c>
      <c r="D3" s="24"/>
      <c r="E3" s="24"/>
      <c r="F3" s="24"/>
      <c r="G3" s="24"/>
      <c r="H3" s="24"/>
      <c r="I3" s="24"/>
      <c r="J3" s="25">
        <v>45302</v>
      </c>
      <c r="K3" s="26"/>
      <c r="L3" s="26"/>
      <c r="M3" s="27"/>
      <c r="N3" s="9"/>
    </row>
    <row r="4" spans="3:14" ht="12.95" customHeight="1" x14ac:dyDescent="0.2">
      <c r="C4" s="28"/>
      <c r="D4" s="29"/>
      <c r="E4" s="30"/>
      <c r="F4" s="30"/>
      <c r="G4" s="30"/>
      <c r="H4" s="30"/>
      <c r="I4" s="30"/>
      <c r="J4" s="30"/>
      <c r="K4" s="30"/>
      <c r="L4" s="30"/>
      <c r="M4" s="30"/>
      <c r="N4" s="6"/>
    </row>
    <row r="5" spans="3:14" ht="12.95" customHeight="1" x14ac:dyDescent="0.2">
      <c r="C5" s="31"/>
      <c r="D5" s="30"/>
      <c r="E5" s="30"/>
      <c r="F5" s="30"/>
      <c r="G5" s="30"/>
      <c r="H5" s="30"/>
      <c r="I5" s="30"/>
      <c r="J5" s="30"/>
      <c r="K5" s="30"/>
      <c r="L5" s="30"/>
      <c r="M5" s="30"/>
      <c r="N5" s="6"/>
    </row>
    <row r="6" spans="3:14" ht="12.95" customHeight="1" x14ac:dyDescent="0.2">
      <c r="C6" s="42" t="s">
        <v>1</v>
      </c>
      <c r="D6" s="42"/>
      <c r="E6" s="43"/>
      <c r="F6" s="44" t="s">
        <v>2</v>
      </c>
      <c r="G6" s="42"/>
      <c r="H6" s="42"/>
      <c r="I6" s="42"/>
      <c r="J6" s="42"/>
      <c r="K6" s="42"/>
      <c r="L6" s="42"/>
      <c r="M6" s="42"/>
      <c r="N6" s="6"/>
    </row>
    <row r="7" spans="3:14" ht="12.95" customHeight="1" x14ac:dyDescent="0.2">
      <c r="C7" s="42" t="s">
        <v>3</v>
      </c>
      <c r="D7" s="42"/>
      <c r="E7" s="43"/>
      <c r="F7" s="42"/>
      <c r="G7" s="43"/>
      <c r="H7" s="42"/>
      <c r="I7" s="42"/>
      <c r="J7" s="42"/>
      <c r="K7" s="42"/>
      <c r="L7" s="42"/>
      <c r="M7" s="42"/>
      <c r="N7" s="6"/>
    </row>
    <row r="8" spans="3:14" ht="12.95" customHeight="1" x14ac:dyDescent="0.2">
      <c r="C8" s="42" t="s">
        <v>4</v>
      </c>
      <c r="D8" s="42"/>
      <c r="E8" s="42"/>
      <c r="F8" s="42"/>
      <c r="G8" s="42"/>
      <c r="H8" s="42"/>
      <c r="I8" s="42"/>
      <c r="J8" s="42"/>
      <c r="K8" s="42"/>
      <c r="L8" s="42"/>
      <c r="M8" s="42"/>
      <c r="N8" s="6"/>
    </row>
    <row r="9" spans="3:14" ht="12.95" customHeight="1" x14ac:dyDescent="0.2">
      <c r="C9" s="42"/>
      <c r="D9" s="42"/>
      <c r="E9" s="42"/>
      <c r="F9" s="42"/>
      <c r="G9" s="42"/>
      <c r="H9" s="42"/>
      <c r="I9" s="42"/>
      <c r="J9" s="42"/>
      <c r="K9" s="42"/>
      <c r="L9" s="42"/>
      <c r="M9" s="42"/>
      <c r="N9" s="6"/>
    </row>
    <row r="10" spans="3:14" ht="12.95" customHeight="1" x14ac:dyDescent="0.2">
      <c r="C10" s="43" t="s">
        <v>5</v>
      </c>
      <c r="D10" s="42"/>
      <c r="E10" s="42"/>
      <c r="F10" s="42"/>
      <c r="G10" s="42"/>
      <c r="H10" s="42"/>
      <c r="I10" s="42"/>
      <c r="J10" s="42"/>
      <c r="K10" s="42"/>
      <c r="L10" s="42"/>
      <c r="M10" s="42"/>
      <c r="N10" s="6"/>
    </row>
    <row r="11" spans="3:14" ht="12.95" customHeight="1" x14ac:dyDescent="0.2">
      <c r="C11" s="42" t="s">
        <v>6</v>
      </c>
      <c r="D11" s="42"/>
      <c r="E11" s="42"/>
      <c r="F11" s="42"/>
      <c r="G11" s="42"/>
      <c r="H11" s="42"/>
      <c r="I11" s="42"/>
      <c r="J11" s="42"/>
      <c r="K11" s="42"/>
      <c r="L11" s="42"/>
      <c r="M11" s="42"/>
      <c r="N11" s="6"/>
    </row>
    <row r="12" spans="3:14" ht="12.95" customHeight="1" x14ac:dyDescent="0.2">
      <c r="C12" s="45" t="s">
        <v>7</v>
      </c>
      <c r="D12" s="42"/>
      <c r="E12" s="42"/>
      <c r="F12" s="42"/>
      <c r="G12" s="42"/>
      <c r="H12" s="42"/>
      <c r="I12" s="42"/>
      <c r="J12" s="42"/>
      <c r="K12" s="42"/>
      <c r="L12" s="42"/>
      <c r="M12" s="42"/>
      <c r="N12" s="6"/>
    </row>
    <row r="13" spans="3:14" ht="51.95" customHeight="1" x14ac:dyDescent="0.2">
      <c r="C13" s="157" t="s">
        <v>8</v>
      </c>
      <c r="D13" s="157"/>
      <c r="E13" s="157"/>
      <c r="F13" s="157"/>
      <c r="G13" s="157"/>
      <c r="H13" s="157"/>
      <c r="I13" s="157"/>
      <c r="J13" s="157"/>
      <c r="K13" s="157"/>
      <c r="L13" s="157"/>
      <c r="M13" s="157"/>
      <c r="N13" s="6"/>
    </row>
    <row r="14" spans="3:14" ht="12.95" customHeight="1" x14ac:dyDescent="0.2">
      <c r="C14" s="157" t="s">
        <v>9</v>
      </c>
      <c r="D14" s="157"/>
      <c r="E14" s="157"/>
      <c r="F14" s="157"/>
      <c r="G14" s="157"/>
      <c r="H14" s="157"/>
      <c r="I14" s="157"/>
      <c r="J14" s="157"/>
      <c r="K14" s="157"/>
      <c r="L14" s="157"/>
      <c r="M14" s="157"/>
      <c r="N14" s="6"/>
    </row>
    <row r="15" spans="3:14" ht="12.95" customHeight="1" x14ac:dyDescent="0.2">
      <c r="C15" s="42"/>
      <c r="D15" s="42"/>
      <c r="E15" s="42"/>
      <c r="F15" s="42"/>
      <c r="G15" s="42"/>
      <c r="H15" s="42"/>
      <c r="I15" s="42"/>
      <c r="J15" s="42"/>
      <c r="K15" s="42"/>
      <c r="L15" s="42"/>
      <c r="M15" s="42"/>
      <c r="N15" s="6"/>
    </row>
    <row r="16" spans="3:14" ht="51.95" customHeight="1" x14ac:dyDescent="0.2">
      <c r="C16" s="157" t="s">
        <v>10</v>
      </c>
      <c r="D16" s="157"/>
      <c r="E16" s="157"/>
      <c r="F16" s="157"/>
      <c r="G16" s="157"/>
      <c r="H16" s="157"/>
      <c r="I16" s="157"/>
      <c r="J16" s="157"/>
      <c r="K16" s="157"/>
      <c r="L16" s="157"/>
      <c r="M16" s="157"/>
      <c r="N16" s="6"/>
    </row>
    <row r="17" spans="3:14" ht="12.95" customHeight="1" x14ac:dyDescent="0.2">
      <c r="C17" s="42"/>
      <c r="D17" s="42"/>
      <c r="E17" s="42"/>
      <c r="F17" s="42"/>
      <c r="G17" s="42"/>
      <c r="H17" s="42"/>
      <c r="I17" s="42"/>
      <c r="J17" s="42"/>
      <c r="K17" s="42"/>
      <c r="L17" s="42"/>
      <c r="M17" s="42"/>
      <c r="N17" s="6"/>
    </row>
    <row r="18" spans="3:14" ht="26.1" customHeight="1" x14ac:dyDescent="0.2">
      <c r="C18" s="157" t="s">
        <v>11</v>
      </c>
      <c r="D18" s="157"/>
      <c r="E18" s="157"/>
      <c r="F18" s="157"/>
      <c r="G18" s="157"/>
      <c r="H18" s="157"/>
      <c r="I18" s="157"/>
      <c r="J18" s="157"/>
      <c r="K18" s="157"/>
      <c r="L18" s="157"/>
      <c r="M18" s="157"/>
      <c r="N18" s="6"/>
    </row>
    <row r="19" spans="3:14" ht="12.95" customHeight="1" x14ac:dyDescent="0.2">
      <c r="C19" s="42"/>
      <c r="D19" s="42"/>
      <c r="E19" s="42"/>
      <c r="F19" s="42"/>
      <c r="G19" s="42"/>
      <c r="H19" s="42"/>
      <c r="I19" s="42"/>
      <c r="J19" s="42"/>
      <c r="K19" s="42"/>
      <c r="L19" s="42"/>
      <c r="M19" s="42"/>
      <c r="N19" s="6"/>
    </row>
    <row r="20" spans="3:14" ht="12.95" customHeight="1" x14ac:dyDescent="0.2">
      <c r="C20" s="43" t="s">
        <v>12</v>
      </c>
      <c r="D20" s="42"/>
      <c r="E20" s="42"/>
      <c r="F20" s="42"/>
      <c r="G20" s="42"/>
      <c r="H20" s="42"/>
      <c r="I20" s="42"/>
      <c r="J20" s="42"/>
      <c r="K20" s="42"/>
      <c r="L20" s="42"/>
      <c r="M20" s="42"/>
      <c r="N20" s="6"/>
    </row>
    <row r="21" spans="3:14" ht="26.1" customHeight="1" x14ac:dyDescent="0.2">
      <c r="C21" s="157" t="s">
        <v>13</v>
      </c>
      <c r="D21" s="157"/>
      <c r="E21" s="157"/>
      <c r="F21" s="157"/>
      <c r="G21" s="157"/>
      <c r="H21" s="157"/>
      <c r="I21" s="157"/>
      <c r="J21" s="157"/>
      <c r="K21" s="157"/>
      <c r="L21" s="157"/>
      <c r="M21" s="157"/>
      <c r="N21" s="6"/>
    </row>
    <row r="22" spans="3:14" ht="51.95" customHeight="1" x14ac:dyDescent="0.2">
      <c r="C22" s="158" t="s">
        <v>14</v>
      </c>
      <c r="D22" s="158"/>
      <c r="E22" s="158"/>
      <c r="F22" s="158"/>
      <c r="G22" s="158"/>
      <c r="H22" s="158"/>
      <c r="I22" s="158"/>
      <c r="J22" s="158"/>
      <c r="K22" s="158"/>
      <c r="L22" s="158"/>
      <c r="M22" s="158"/>
      <c r="N22" s="6"/>
    </row>
    <row r="23" spans="3:14" ht="12.95" customHeight="1" x14ac:dyDescent="0.2">
      <c r="C23" s="42"/>
      <c r="D23" s="42"/>
      <c r="E23" s="42"/>
      <c r="F23" s="42"/>
      <c r="G23" s="42"/>
      <c r="H23" s="42"/>
      <c r="I23" s="42"/>
      <c r="J23" s="42"/>
      <c r="K23" s="42"/>
      <c r="L23" s="42"/>
      <c r="M23" s="42"/>
      <c r="N23" s="6"/>
    </row>
    <row r="24" spans="3:14" ht="26.1" customHeight="1" x14ac:dyDescent="0.2">
      <c r="C24" s="157" t="s">
        <v>15</v>
      </c>
      <c r="D24" s="157"/>
      <c r="E24" s="157"/>
      <c r="F24" s="157"/>
      <c r="G24" s="157"/>
      <c r="H24" s="157"/>
      <c r="I24" s="157"/>
      <c r="J24" s="157"/>
      <c r="K24" s="157"/>
      <c r="L24" s="157"/>
      <c r="M24" s="157"/>
      <c r="N24" s="6"/>
    </row>
    <row r="25" spans="3:14" ht="12.95" customHeight="1" x14ac:dyDescent="0.2">
      <c r="C25" s="42"/>
      <c r="D25" s="42"/>
      <c r="E25" s="42"/>
      <c r="F25" s="42"/>
      <c r="G25" s="42"/>
      <c r="H25" s="42"/>
      <c r="I25" s="42"/>
      <c r="J25" s="42"/>
      <c r="K25" s="42"/>
      <c r="L25" s="42"/>
      <c r="M25" s="42"/>
      <c r="N25" s="6"/>
    </row>
    <row r="26" spans="3:14" ht="12.95" customHeight="1" x14ac:dyDescent="0.2">
      <c r="C26" s="43" t="s">
        <v>16</v>
      </c>
      <c r="D26" s="42"/>
      <c r="E26" s="42"/>
      <c r="F26" s="42"/>
      <c r="G26" s="42"/>
      <c r="H26" s="42"/>
      <c r="I26" s="42"/>
      <c r="J26" s="42"/>
      <c r="K26" s="42"/>
      <c r="L26" s="42"/>
      <c r="M26" s="42"/>
      <c r="N26" s="6"/>
    </row>
    <row r="27" spans="3:14" ht="12.95" customHeight="1" x14ac:dyDescent="0.2">
      <c r="C27" s="42" t="s">
        <v>17</v>
      </c>
      <c r="D27" s="42"/>
      <c r="E27" s="42"/>
      <c r="F27" s="42"/>
      <c r="G27" s="42"/>
      <c r="H27" s="42"/>
      <c r="I27" s="42"/>
      <c r="J27" s="42"/>
      <c r="K27" s="42"/>
      <c r="L27" s="42"/>
      <c r="M27" s="42"/>
      <c r="N27" s="6"/>
    </row>
    <row r="28" spans="3:14" ht="12.95" customHeight="1" x14ac:dyDescent="0.2">
      <c r="C28" s="42"/>
      <c r="D28" s="42"/>
      <c r="E28" s="42"/>
      <c r="F28" s="42"/>
      <c r="G28" s="42"/>
      <c r="H28" s="42"/>
      <c r="I28" s="42"/>
      <c r="J28" s="42"/>
      <c r="K28" s="42"/>
      <c r="L28" s="42"/>
      <c r="M28" s="42"/>
      <c r="N28" s="6"/>
    </row>
    <row r="29" spans="3:14" ht="12.95" customHeight="1" x14ac:dyDescent="0.2">
      <c r="C29" s="43" t="s">
        <v>18</v>
      </c>
      <c r="D29" s="42"/>
      <c r="E29" s="42"/>
      <c r="F29" s="42"/>
      <c r="G29" s="42"/>
      <c r="H29" s="42"/>
      <c r="I29" s="42"/>
      <c r="J29" s="42"/>
      <c r="K29" s="42"/>
      <c r="L29" s="42"/>
      <c r="M29" s="42"/>
      <c r="N29" s="6"/>
    </row>
    <row r="30" spans="3:14" ht="12.95" customHeight="1" x14ac:dyDescent="0.2">
      <c r="C30" s="42" t="s">
        <v>19</v>
      </c>
      <c r="D30" s="42"/>
      <c r="E30" s="42"/>
      <c r="F30" s="42"/>
      <c r="G30" s="42"/>
      <c r="H30" s="42"/>
      <c r="I30" s="42"/>
      <c r="J30" s="42"/>
      <c r="K30" s="42"/>
      <c r="L30" s="42"/>
      <c r="M30" s="42"/>
      <c r="N30" s="6"/>
    </row>
    <row r="31" spans="3:14" ht="12.95" customHeight="1" x14ac:dyDescent="0.2">
      <c r="C31" s="42"/>
      <c r="D31" s="42"/>
      <c r="E31" s="42"/>
      <c r="F31" s="42"/>
      <c r="G31" s="42"/>
      <c r="H31" s="42"/>
      <c r="I31" s="42"/>
      <c r="J31" s="42"/>
      <c r="K31" s="42"/>
      <c r="L31" s="42"/>
      <c r="M31" s="42"/>
      <c r="N31" s="6"/>
    </row>
    <row r="32" spans="3:14" ht="12.95" customHeight="1" x14ac:dyDescent="0.2">
      <c r="C32" s="43" t="s">
        <v>20</v>
      </c>
      <c r="D32" s="42"/>
      <c r="E32" s="42"/>
      <c r="F32" s="42"/>
      <c r="G32" s="42"/>
      <c r="H32" s="42"/>
      <c r="I32" s="42"/>
      <c r="J32" s="42"/>
      <c r="K32" s="42"/>
      <c r="L32" s="42"/>
      <c r="M32" s="42"/>
      <c r="N32" s="6"/>
    </row>
    <row r="33" spans="3:14" ht="26.1" customHeight="1" x14ac:dyDescent="0.2">
      <c r="C33" s="157" t="s">
        <v>21</v>
      </c>
      <c r="D33" s="157"/>
      <c r="E33" s="157"/>
      <c r="F33" s="157"/>
      <c r="G33" s="157"/>
      <c r="H33" s="157"/>
      <c r="I33" s="157"/>
      <c r="J33" s="157"/>
      <c r="K33" s="157"/>
      <c r="L33" s="157"/>
      <c r="M33" s="157"/>
      <c r="N33" s="6"/>
    </row>
    <row r="34" spans="3:14" ht="12.95" customHeight="1" x14ac:dyDescent="0.2">
      <c r="C34" s="42"/>
      <c r="D34" s="42"/>
      <c r="E34" s="42"/>
      <c r="F34" s="42"/>
      <c r="G34" s="42"/>
      <c r="H34" s="42"/>
      <c r="I34" s="42"/>
      <c r="J34" s="42"/>
      <c r="K34" s="42"/>
      <c r="L34" s="42"/>
      <c r="M34" s="42"/>
      <c r="N34" s="6"/>
    </row>
    <row r="35" spans="3:14" ht="12.95" customHeight="1" x14ac:dyDescent="0.2">
      <c r="C35" s="46" t="s">
        <v>143</v>
      </c>
      <c r="D35" s="42"/>
      <c r="E35" s="42"/>
      <c r="F35" s="42"/>
      <c r="G35" s="42"/>
      <c r="H35" s="42"/>
      <c r="I35" s="42"/>
      <c r="J35" s="42"/>
      <c r="K35" s="42"/>
      <c r="L35" s="42"/>
      <c r="M35" s="42"/>
      <c r="N35" s="6"/>
    </row>
    <row r="36" spans="3:14" ht="12.95" customHeight="1" x14ac:dyDescent="0.2">
      <c r="C36" s="6"/>
      <c r="D36" s="6"/>
      <c r="E36" s="6"/>
      <c r="F36" s="6"/>
      <c r="G36" s="6"/>
      <c r="H36" s="6"/>
      <c r="I36" s="6"/>
      <c r="J36" s="6"/>
      <c r="K36" s="6"/>
      <c r="L36" s="11"/>
      <c r="M36" s="6"/>
      <c r="N36" s="6"/>
    </row>
    <row r="37" spans="3:14" ht="12.95" customHeight="1" x14ac:dyDescent="0.2">
      <c r="C37" s="6"/>
      <c r="D37" s="6"/>
      <c r="E37" s="6"/>
      <c r="F37" s="6"/>
      <c r="G37" s="6"/>
      <c r="H37" s="8"/>
      <c r="I37" s="6"/>
      <c r="J37" s="6"/>
      <c r="K37" s="6"/>
    </row>
    <row r="38" spans="3:14" ht="12.95" customHeight="1" x14ac:dyDescent="0.2"/>
    <row r="39" spans="3:14" ht="12.95" customHeight="1" x14ac:dyDescent="0.2"/>
  </sheetData>
  <sheetProtection algorithmName="SHA-512" hashValue="noy8GTTAlXW3FRaGKKD/NGucSWR0cU1JKg3FxYCSDIK9wXLUzjAWBB2rWbWoWwNDJxbNkKbVcJ6o/ym3Vlr2Cw==" saltValue="Kelt6XwN1uSauODriz4H0w==" spinCount="100000" sheet="1" objects="1" scenarios="1"/>
  <mergeCells count="8">
    <mergeCell ref="C33:M33"/>
    <mergeCell ref="C16:M16"/>
    <mergeCell ref="C13:M13"/>
    <mergeCell ref="C18:M18"/>
    <mergeCell ref="C22:M22"/>
    <mergeCell ref="C24:M24"/>
    <mergeCell ref="C14:M14"/>
    <mergeCell ref="C21:M21"/>
  </mergeCells>
  <hyperlinks>
    <hyperlink ref="C12" r:id="rId1" xr:uid="{C515BC47-3520-4766-A901-093B3618A9FB}"/>
  </hyperlinks>
  <pageMargins left="0.7" right="0.7" top="0.75" bottom="0.75" header="0.3" footer="0.3"/>
  <pageSetup paperSize="9" scale="71"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B3C0A-7093-4B22-B9A1-929AEA1413D8}">
  <sheetPr>
    <pageSetUpPr fitToPage="1"/>
  </sheetPr>
  <dimension ref="B2:CI44"/>
  <sheetViews>
    <sheetView zoomScale="90" zoomScaleNormal="90" workbookViewId="0">
      <pane xSplit="9" ySplit="7" topLeftCell="J8" activePane="bottomRight" state="frozen"/>
      <selection pane="topRight" activeCell="J1" sqref="J1"/>
      <selection pane="bottomLeft" activeCell="A8" sqref="A8"/>
      <selection pane="bottomRight" activeCell="Z7" sqref="Z7"/>
    </sheetView>
  </sheetViews>
  <sheetFormatPr defaultRowHeight="12.75" x14ac:dyDescent="0.2"/>
  <cols>
    <col min="1" max="1" width="2" style="149" customWidth="1"/>
    <col min="2" max="2" width="2.5703125" style="149" customWidth="1"/>
    <col min="3" max="3" width="9.140625" style="149"/>
    <col min="4" max="4" width="12" style="149" customWidth="1"/>
    <col min="5" max="5" width="10.5703125" style="149" customWidth="1"/>
    <col min="6" max="6" width="9.7109375" style="149" hidden="1" customWidth="1"/>
    <col min="7" max="7" width="9.140625" style="149" hidden="1" customWidth="1"/>
    <col min="8" max="8" width="12" style="149" customWidth="1"/>
    <col min="9" max="11" width="10.5703125" style="149" customWidth="1"/>
    <col min="12" max="18" width="0" style="149" hidden="1" customWidth="1"/>
    <col min="19" max="19" width="10.5703125" style="149" customWidth="1"/>
    <col min="20" max="20" width="12.42578125" style="149" customWidth="1"/>
    <col min="21" max="21" width="0" style="149" hidden="1" customWidth="1"/>
    <col min="22" max="22" width="11.140625" style="149" customWidth="1"/>
    <col min="23" max="24" width="0" style="149" hidden="1" customWidth="1"/>
    <col min="25" max="29" width="11.140625" style="149" customWidth="1"/>
    <col min="30" max="32" width="9.140625" style="149" hidden="1" customWidth="1"/>
    <col min="33" max="33" width="11.140625" style="149" customWidth="1"/>
    <col min="34" max="34" width="9.140625" style="149" hidden="1" customWidth="1"/>
    <col min="35" max="35" width="11.140625" style="149" hidden="1" customWidth="1"/>
    <col min="36" max="36" width="11.140625" style="149" customWidth="1"/>
    <col min="37" max="38" width="10.5703125" style="149" customWidth="1"/>
    <col min="39" max="42" width="9.140625" style="149" hidden="1" customWidth="1"/>
    <col min="43" max="46" width="10.5703125" style="149" customWidth="1"/>
    <col min="47" max="51" width="9.140625" style="149" hidden="1" customWidth="1"/>
    <col min="52" max="55" width="10.5703125" style="149" customWidth="1"/>
    <col min="56" max="56" width="14.42578125" style="149" customWidth="1"/>
    <col min="57" max="57" width="10.5703125" style="149" customWidth="1"/>
    <col min="58" max="60" width="12.42578125" style="149" customWidth="1"/>
    <col min="61" max="61" width="2.5703125" style="149" customWidth="1"/>
    <col min="62" max="62" width="2.7109375" style="149" customWidth="1"/>
    <col min="63" max="63" width="1.7109375" style="149" customWidth="1"/>
    <col min="64" max="68" width="9.140625" style="149" hidden="1" customWidth="1"/>
    <col min="69" max="69" width="10.140625" style="149" hidden="1" customWidth="1"/>
    <col min="70" max="76" width="9.140625" style="149" hidden="1" customWidth="1"/>
    <col min="77" max="77" width="10.140625" style="149" hidden="1" customWidth="1"/>
    <col min="78" max="78" width="9.140625" style="149" hidden="1" customWidth="1"/>
    <col min="79" max="79" width="2.5703125" style="149" customWidth="1"/>
    <col min="80" max="80" width="10.5703125" style="149" customWidth="1"/>
    <col min="81" max="82" width="10" style="149" bestFit="1" customWidth="1"/>
    <col min="83" max="83" width="9.140625" style="149"/>
    <col min="84" max="84" width="2.5703125" style="149" customWidth="1"/>
    <col min="85" max="85" width="9.140625" style="149"/>
    <col min="86" max="87" width="11.28515625" style="149" bestFit="1" customWidth="1"/>
    <col min="88" max="16384" width="9.140625" style="149"/>
  </cols>
  <sheetData>
    <row r="2" spans="2:87" x14ac:dyDescent="0.2">
      <c r="B2" s="60"/>
      <c r="C2" s="61"/>
      <c r="D2" s="61"/>
      <c r="E2" s="61"/>
      <c r="F2" s="62"/>
      <c r="G2" s="62"/>
      <c r="H2" s="62"/>
      <c r="I2" s="61"/>
      <c r="J2" s="61"/>
      <c r="K2" s="63"/>
      <c r="L2" s="64"/>
      <c r="M2" s="64"/>
      <c r="N2" s="64"/>
      <c r="O2" s="64"/>
      <c r="P2" s="63"/>
      <c r="Q2" s="63"/>
      <c r="R2" s="63"/>
      <c r="S2" s="63"/>
      <c r="T2" s="64"/>
      <c r="U2" s="64"/>
      <c r="V2" s="63"/>
      <c r="W2" s="64"/>
      <c r="X2" s="64"/>
      <c r="Y2" s="63"/>
      <c r="Z2" s="61"/>
      <c r="AA2" s="64"/>
      <c r="AB2" s="64"/>
      <c r="AC2" s="63"/>
      <c r="AD2" s="64"/>
      <c r="AE2" s="64"/>
      <c r="AF2" s="64"/>
      <c r="AG2" s="63"/>
      <c r="AH2" s="64"/>
      <c r="AI2" s="64"/>
      <c r="AJ2" s="64"/>
      <c r="AK2" s="63"/>
      <c r="AL2" s="63"/>
      <c r="AM2" s="63"/>
      <c r="AN2" s="63"/>
      <c r="AO2" s="64"/>
      <c r="AP2" s="64"/>
      <c r="AQ2" s="64"/>
      <c r="AR2" s="63"/>
      <c r="AS2" s="63"/>
      <c r="AT2" s="63"/>
      <c r="AU2" s="64"/>
      <c r="AV2" s="64"/>
      <c r="AW2" s="64"/>
      <c r="AX2" s="64"/>
      <c r="AY2" s="64"/>
      <c r="AZ2" s="64"/>
      <c r="BA2" s="63"/>
      <c r="BB2" s="63"/>
      <c r="BC2" s="63"/>
      <c r="BD2" s="63"/>
      <c r="BE2" s="63"/>
      <c r="BF2" s="63"/>
      <c r="BG2" s="63"/>
      <c r="BH2" s="63"/>
      <c r="BI2" s="65"/>
      <c r="BJ2" s="59"/>
      <c r="BK2" s="59"/>
      <c r="BL2" s="66"/>
      <c r="BM2" s="66"/>
      <c r="BN2" s="66"/>
      <c r="BO2" s="66"/>
      <c r="BP2" s="66"/>
      <c r="BQ2" s="66"/>
      <c r="BR2" s="66"/>
      <c r="BS2" s="66"/>
      <c r="BT2" s="66" t="s">
        <v>22</v>
      </c>
      <c r="BU2" s="66"/>
      <c r="BV2" s="66"/>
      <c r="BW2" s="66"/>
      <c r="BX2" s="66"/>
      <c r="BY2" s="66"/>
      <c r="BZ2" s="66"/>
      <c r="CA2" s="60"/>
      <c r="CB2" s="63"/>
      <c r="CC2" s="63"/>
      <c r="CD2" s="63"/>
      <c r="CE2" s="63"/>
      <c r="CF2" s="65"/>
    </row>
    <row r="3" spans="2:87" ht="15.75" x14ac:dyDescent="0.25">
      <c r="B3" s="67"/>
      <c r="C3" s="68" t="s">
        <v>23</v>
      </c>
      <c r="D3" s="68"/>
      <c r="E3" s="69"/>
      <c r="F3" s="70"/>
      <c r="G3" s="70"/>
      <c r="H3" s="70"/>
      <c r="I3" s="71"/>
      <c r="J3" s="71"/>
      <c r="K3" s="72"/>
      <c r="L3" s="73"/>
      <c r="M3" s="73"/>
      <c r="N3" s="73"/>
      <c r="O3" s="73"/>
      <c r="P3" s="74"/>
      <c r="Q3" s="74"/>
      <c r="R3" s="74"/>
      <c r="S3" s="74"/>
      <c r="T3" s="73"/>
      <c r="U3" s="73"/>
      <c r="V3" s="75">
        <f>tab!D1</f>
        <v>45291</v>
      </c>
      <c r="W3" s="73"/>
      <c r="X3" s="73"/>
      <c r="Y3" s="72"/>
      <c r="Z3" s="76"/>
      <c r="AA3" s="73"/>
      <c r="AB3" s="73"/>
      <c r="AC3" s="72"/>
      <c r="AD3" s="73"/>
      <c r="AE3" s="73"/>
      <c r="AF3" s="73"/>
      <c r="AG3" s="72"/>
      <c r="AH3" s="73"/>
      <c r="AI3" s="73"/>
      <c r="AJ3" s="73"/>
      <c r="AK3" s="72"/>
      <c r="AL3" s="72"/>
      <c r="AM3" s="72"/>
      <c r="AN3" s="72"/>
      <c r="AO3" s="73"/>
      <c r="AP3" s="73"/>
      <c r="AQ3" s="73"/>
      <c r="AR3" s="72"/>
      <c r="AS3" s="72"/>
      <c r="AT3" s="72"/>
      <c r="AU3" s="73"/>
      <c r="AV3" s="73"/>
      <c r="AW3" s="73"/>
      <c r="AX3" s="73"/>
      <c r="AY3" s="73"/>
      <c r="AZ3" s="73"/>
      <c r="BA3" s="72"/>
      <c r="BB3" s="72"/>
      <c r="BC3" s="72"/>
      <c r="BD3" s="72"/>
      <c r="BE3" s="72"/>
      <c r="BF3" s="128">
        <f>+EDATE(V3,12)</f>
        <v>45657</v>
      </c>
      <c r="BG3" s="128">
        <f>+EDATE(V3,5*12)</f>
        <v>47118</v>
      </c>
      <c r="BH3" s="16"/>
      <c r="BI3" s="77"/>
      <c r="BJ3" s="59"/>
      <c r="BK3" s="59"/>
      <c r="BL3" s="66"/>
      <c r="BM3" s="66" t="s">
        <v>24</v>
      </c>
      <c r="BN3" s="66"/>
      <c r="BO3" s="66"/>
      <c r="BP3" s="66"/>
      <c r="BQ3" s="78">
        <f>+EDATE(V3,12)</f>
        <v>45657</v>
      </c>
      <c r="BR3" s="78"/>
      <c r="BS3" s="66"/>
      <c r="BT3" s="66" t="s">
        <v>25</v>
      </c>
      <c r="BU3" s="66"/>
      <c r="BV3" s="66"/>
      <c r="BW3" s="66"/>
      <c r="BX3" s="66"/>
      <c r="BY3" s="78">
        <f>+EDATE(V3,5*12)</f>
        <v>47118</v>
      </c>
      <c r="BZ3" s="66"/>
      <c r="CA3" s="67"/>
      <c r="CB3" s="16"/>
      <c r="CC3" s="16"/>
      <c r="CD3" s="16"/>
      <c r="CE3" s="16"/>
      <c r="CF3" s="77"/>
      <c r="CH3" s="150"/>
      <c r="CI3" s="150"/>
    </row>
    <row r="4" spans="2:87" ht="15.75" x14ac:dyDescent="0.25">
      <c r="B4" s="67"/>
      <c r="C4" s="132" t="s">
        <v>26</v>
      </c>
      <c r="D4" s="79"/>
      <c r="E4" s="76"/>
      <c r="F4" s="80"/>
      <c r="G4" s="80"/>
      <c r="H4" s="80"/>
      <c r="I4" s="76"/>
      <c r="J4" s="76"/>
      <c r="K4" s="72"/>
      <c r="L4" s="73"/>
      <c r="M4" s="73"/>
      <c r="N4" s="73"/>
      <c r="O4" s="73"/>
      <c r="P4" s="72"/>
      <c r="Q4" s="72"/>
      <c r="R4" s="72"/>
      <c r="S4" s="72"/>
      <c r="T4" s="73"/>
      <c r="U4" s="73"/>
      <c r="V4" s="72"/>
      <c r="W4" s="73"/>
      <c r="X4" s="73"/>
      <c r="Y4" s="72"/>
      <c r="Z4" s="76"/>
      <c r="AA4" s="73"/>
      <c r="AB4" s="73"/>
      <c r="AC4" s="72"/>
      <c r="AD4" s="73"/>
      <c r="AE4" s="73"/>
      <c r="AF4" s="73"/>
      <c r="AG4" s="72"/>
      <c r="AH4" s="73"/>
      <c r="AI4" s="73"/>
      <c r="AJ4" s="73"/>
      <c r="AK4" s="72"/>
      <c r="AL4" s="72"/>
      <c r="AM4" s="72"/>
      <c r="AN4" s="72"/>
      <c r="AO4" s="73"/>
      <c r="AP4" s="73"/>
      <c r="AQ4" s="73"/>
      <c r="AR4" s="72"/>
      <c r="AS4" s="72"/>
      <c r="AT4" s="72"/>
      <c r="AU4" s="73"/>
      <c r="AV4" s="73"/>
      <c r="AW4" s="73"/>
      <c r="AX4" s="73"/>
      <c r="AY4" s="73"/>
      <c r="AZ4" s="73"/>
      <c r="BA4" s="72"/>
      <c r="BB4" s="72"/>
      <c r="BC4" s="72"/>
      <c r="BD4" s="72"/>
      <c r="BE4" s="72"/>
      <c r="BF4" s="72"/>
      <c r="BG4" s="72"/>
      <c r="BH4" s="72"/>
      <c r="BI4" s="77"/>
      <c r="BJ4" s="59"/>
      <c r="BK4" s="59"/>
      <c r="BL4" s="66"/>
      <c r="BM4" s="66"/>
      <c r="BN4" s="66"/>
      <c r="BO4" s="66"/>
      <c r="BP4" s="66"/>
      <c r="BQ4" s="66"/>
      <c r="BR4" s="66"/>
      <c r="BS4" s="66"/>
      <c r="BT4" s="66" t="s">
        <v>27</v>
      </c>
      <c r="BU4" s="66"/>
      <c r="BV4" s="66"/>
      <c r="BW4" s="66"/>
      <c r="BX4" s="66"/>
      <c r="BY4" s="66"/>
      <c r="BZ4" s="66"/>
      <c r="CA4" s="67"/>
      <c r="CB4" s="72"/>
      <c r="CC4" s="72"/>
      <c r="CD4" s="72"/>
      <c r="CE4" s="72"/>
      <c r="CF4" s="77"/>
    </row>
    <row r="5" spans="2:87" x14ac:dyDescent="0.2">
      <c r="B5" s="67"/>
      <c r="C5" s="76"/>
      <c r="D5" s="76"/>
      <c r="E5" s="76"/>
      <c r="F5" s="80"/>
      <c r="G5" s="80"/>
      <c r="H5" s="80"/>
      <c r="I5" s="76"/>
      <c r="J5" s="76"/>
      <c r="K5" s="72"/>
      <c r="L5" s="73"/>
      <c r="M5" s="73"/>
      <c r="N5" s="73"/>
      <c r="O5" s="73"/>
      <c r="P5" s="72"/>
      <c r="Q5" s="72"/>
      <c r="R5" s="72"/>
      <c r="S5" s="72"/>
      <c r="T5" s="73"/>
      <c r="U5" s="73"/>
      <c r="V5" s="72"/>
      <c r="W5" s="73"/>
      <c r="X5" s="73"/>
      <c r="Y5" s="72"/>
      <c r="Z5" s="76"/>
      <c r="AA5" s="73"/>
      <c r="AB5" s="73"/>
      <c r="AC5" s="72"/>
      <c r="AD5" s="73"/>
      <c r="AE5" s="73"/>
      <c r="AF5" s="73"/>
      <c r="AG5" s="72"/>
      <c r="AH5" s="73"/>
      <c r="AI5" s="73"/>
      <c r="AJ5" s="73"/>
      <c r="AK5" s="72"/>
      <c r="AL5" s="72"/>
      <c r="AM5" s="72"/>
      <c r="AN5" s="72"/>
      <c r="AO5" s="73"/>
      <c r="AP5" s="73" t="s">
        <v>28</v>
      </c>
      <c r="AQ5" s="73"/>
      <c r="AR5" s="72"/>
      <c r="AS5" s="72"/>
      <c r="AT5" s="72"/>
      <c r="AU5" s="73"/>
      <c r="AV5" s="73"/>
      <c r="AW5" s="73"/>
      <c r="AX5" s="73"/>
      <c r="AY5" s="73"/>
      <c r="AZ5" s="73"/>
      <c r="BA5" s="81"/>
      <c r="BB5" s="129" t="s">
        <v>29</v>
      </c>
      <c r="BC5" s="151"/>
      <c r="BD5" s="130"/>
      <c r="BE5" s="131">
        <f>SUM(BE8:BE42)</f>
        <v>60253.803436842099</v>
      </c>
      <c r="BF5" s="131">
        <f t="shared" ref="BF5:BH5" si="0">SUM(BF8:BF42)</f>
        <v>32239.476836842103</v>
      </c>
      <c r="BG5" s="131">
        <f t="shared" si="0"/>
        <v>28014.3266</v>
      </c>
      <c r="BH5" s="131">
        <f t="shared" si="0"/>
        <v>0</v>
      </c>
      <c r="BI5" s="77"/>
      <c r="BJ5" s="59"/>
      <c r="BK5" s="59"/>
      <c r="BL5" s="66"/>
      <c r="BM5" s="66"/>
      <c r="BN5" s="66"/>
      <c r="BO5" s="66"/>
      <c r="BP5" s="66"/>
      <c r="BQ5" s="66"/>
      <c r="BR5" s="66"/>
      <c r="BS5" s="66"/>
      <c r="BT5" s="66"/>
      <c r="BU5" s="66"/>
      <c r="BV5" s="66"/>
      <c r="BW5" s="66"/>
      <c r="BX5" s="66"/>
      <c r="BY5" s="66"/>
      <c r="BZ5" s="66"/>
      <c r="CA5" s="67"/>
      <c r="CB5" s="138">
        <f>SUM(CB8:CB42)</f>
        <v>59565.52019111027</v>
      </c>
      <c r="CC5" s="138">
        <f t="shared" ref="CC5:CE5" si="1">SUM(CC8:CC42)</f>
        <v>32239.476836842103</v>
      </c>
      <c r="CD5" s="138">
        <f t="shared" si="1"/>
        <v>27326.043354268168</v>
      </c>
      <c r="CE5" s="138">
        <f t="shared" si="1"/>
        <v>0</v>
      </c>
      <c r="CF5" s="77"/>
    </row>
    <row r="6" spans="2:87" x14ac:dyDescent="0.2">
      <c r="B6" s="67"/>
      <c r="C6" s="82"/>
      <c r="D6" s="82"/>
      <c r="E6" s="76"/>
      <c r="F6" s="80"/>
      <c r="G6" s="80"/>
      <c r="H6" s="80"/>
      <c r="I6" s="76"/>
      <c r="J6" s="76"/>
      <c r="K6" s="72"/>
      <c r="L6" s="73"/>
      <c r="M6" s="73"/>
      <c r="N6" s="73"/>
      <c r="O6" s="73"/>
      <c r="P6" s="72"/>
      <c r="Q6" s="72"/>
      <c r="R6" s="72"/>
      <c r="S6" s="72"/>
      <c r="T6" s="73"/>
      <c r="U6" s="73"/>
      <c r="V6" s="72"/>
      <c r="W6" s="73"/>
      <c r="X6" s="73"/>
      <c r="Y6" s="72"/>
      <c r="Z6" s="76"/>
      <c r="AA6" s="73"/>
      <c r="AB6" s="73"/>
      <c r="AC6" s="72"/>
      <c r="AD6" s="73"/>
      <c r="AE6" s="73"/>
      <c r="AF6" s="73"/>
      <c r="AG6" s="72"/>
      <c r="AH6" s="73"/>
      <c r="AI6" s="73"/>
      <c r="AJ6" s="73"/>
      <c r="AK6" s="72"/>
      <c r="AL6" s="72"/>
      <c r="AM6" s="72"/>
      <c r="AN6" s="72"/>
      <c r="AO6" s="73"/>
      <c r="AP6" s="73"/>
      <c r="AQ6" s="73"/>
      <c r="AR6" s="72"/>
      <c r="AS6" s="72"/>
      <c r="AT6" s="72"/>
      <c r="AU6" s="159" t="s">
        <v>30</v>
      </c>
      <c r="AV6" s="159"/>
      <c r="AW6" s="159"/>
      <c r="AX6" s="159"/>
      <c r="AY6" s="159"/>
      <c r="AZ6" s="83"/>
      <c r="BA6" s="72"/>
      <c r="BB6" s="72"/>
      <c r="BC6" s="72"/>
      <c r="BD6" s="72"/>
      <c r="BE6" s="72"/>
      <c r="BF6" s="72"/>
      <c r="BG6" s="72"/>
      <c r="BH6" s="72"/>
      <c r="BI6" s="77"/>
      <c r="BJ6" s="59"/>
      <c r="BK6" s="59"/>
      <c r="BL6" s="84" t="s">
        <v>31</v>
      </c>
      <c r="BM6" s="84"/>
      <c r="BN6" s="84"/>
      <c r="BO6" s="84"/>
      <c r="BP6" s="84"/>
      <c r="BQ6" s="84"/>
      <c r="BR6" s="84"/>
      <c r="BS6" s="84"/>
      <c r="BT6" s="84" t="s">
        <v>32</v>
      </c>
      <c r="BU6" s="84"/>
      <c r="BV6" s="84"/>
      <c r="BW6" s="84"/>
      <c r="BX6" s="84"/>
      <c r="BY6" s="84"/>
      <c r="BZ6" s="66"/>
      <c r="CA6" s="67"/>
      <c r="CB6" s="80"/>
      <c r="CC6" s="160"/>
      <c r="CD6" s="160"/>
      <c r="CE6" s="160"/>
      <c r="CF6" s="77"/>
    </row>
    <row r="7" spans="2:87" ht="84" x14ac:dyDescent="0.2">
      <c r="B7" s="67"/>
      <c r="C7" s="85" t="s">
        <v>33</v>
      </c>
      <c r="D7" s="85" t="s">
        <v>34</v>
      </c>
      <c r="E7" s="86" t="s">
        <v>35</v>
      </c>
      <c r="F7" s="86" t="s">
        <v>36</v>
      </c>
      <c r="G7" s="86" t="s">
        <v>37</v>
      </c>
      <c r="H7" s="86" t="s">
        <v>38</v>
      </c>
      <c r="I7" s="86" t="s">
        <v>39</v>
      </c>
      <c r="J7" s="86" t="s">
        <v>40</v>
      </c>
      <c r="K7" s="87" t="s">
        <v>41</v>
      </c>
      <c r="L7" s="87" t="s">
        <v>42</v>
      </c>
      <c r="M7" s="87" t="s">
        <v>43</v>
      </c>
      <c r="N7" s="87" t="s">
        <v>44</v>
      </c>
      <c r="O7" s="87" t="s">
        <v>45</v>
      </c>
      <c r="P7" s="87" t="s">
        <v>46</v>
      </c>
      <c r="Q7" s="87" t="s">
        <v>47</v>
      </c>
      <c r="R7" s="87" t="s">
        <v>48</v>
      </c>
      <c r="S7" s="87" t="s">
        <v>49</v>
      </c>
      <c r="T7" s="87" t="s">
        <v>50</v>
      </c>
      <c r="U7" s="86" t="s">
        <v>51</v>
      </c>
      <c r="V7" s="87" t="s">
        <v>52</v>
      </c>
      <c r="W7" s="86" t="s">
        <v>53</v>
      </c>
      <c r="X7" s="86" t="s">
        <v>54</v>
      </c>
      <c r="Y7" s="87" t="s">
        <v>55</v>
      </c>
      <c r="Z7" s="86" t="s">
        <v>56</v>
      </c>
      <c r="AA7" s="87" t="s">
        <v>57</v>
      </c>
      <c r="AB7" s="87" t="s">
        <v>58</v>
      </c>
      <c r="AC7" s="87" t="s">
        <v>59</v>
      </c>
      <c r="AD7" s="87" t="s">
        <v>60</v>
      </c>
      <c r="AE7" s="87" t="s">
        <v>61</v>
      </c>
      <c r="AF7" s="88">
        <v>0.7</v>
      </c>
      <c r="AG7" s="87" t="s">
        <v>62</v>
      </c>
      <c r="AH7" s="87" t="s">
        <v>63</v>
      </c>
      <c r="AI7" s="87" t="s">
        <v>64</v>
      </c>
      <c r="AJ7" s="87" t="s">
        <v>65</v>
      </c>
      <c r="AK7" s="87" t="s">
        <v>66</v>
      </c>
      <c r="AL7" s="87" t="s">
        <v>67</v>
      </c>
      <c r="AM7" s="87" t="s">
        <v>68</v>
      </c>
      <c r="AN7" s="87" t="s">
        <v>69</v>
      </c>
      <c r="AO7" s="87" t="s">
        <v>70</v>
      </c>
      <c r="AP7" s="87" t="s">
        <v>71</v>
      </c>
      <c r="AQ7" s="87" t="s">
        <v>72</v>
      </c>
      <c r="AR7" s="87" t="s">
        <v>73</v>
      </c>
      <c r="AS7" s="87" t="s">
        <v>74</v>
      </c>
      <c r="AT7" s="87" t="s">
        <v>75</v>
      </c>
      <c r="AU7" s="87" t="s">
        <v>76</v>
      </c>
      <c r="AV7" s="87" t="s">
        <v>77</v>
      </c>
      <c r="AW7" s="87" t="s">
        <v>78</v>
      </c>
      <c r="AX7" s="87" t="s">
        <v>79</v>
      </c>
      <c r="AY7" s="87" t="s">
        <v>80</v>
      </c>
      <c r="AZ7" s="87" t="s">
        <v>81</v>
      </c>
      <c r="BA7" s="87" t="s">
        <v>82</v>
      </c>
      <c r="BB7" s="87" t="s">
        <v>83</v>
      </c>
      <c r="BC7" s="87" t="s">
        <v>84</v>
      </c>
      <c r="BD7" s="89" t="s">
        <v>85</v>
      </c>
      <c r="BE7" s="90" t="s">
        <v>86</v>
      </c>
      <c r="BF7" s="91" t="s">
        <v>87</v>
      </c>
      <c r="BG7" s="91" t="s">
        <v>88</v>
      </c>
      <c r="BH7" s="91" t="s">
        <v>89</v>
      </c>
      <c r="BI7" s="77"/>
      <c r="BJ7" s="59"/>
      <c r="BK7" s="59"/>
      <c r="BL7" s="92" t="s">
        <v>76</v>
      </c>
      <c r="BM7" s="92" t="s">
        <v>77</v>
      </c>
      <c r="BN7" s="92" t="s">
        <v>78</v>
      </c>
      <c r="BO7" s="92" t="s">
        <v>79</v>
      </c>
      <c r="BP7" s="92" t="s">
        <v>80</v>
      </c>
      <c r="BQ7" s="92" t="s">
        <v>90</v>
      </c>
      <c r="BR7" s="92" t="s">
        <v>91</v>
      </c>
      <c r="BS7" s="84"/>
      <c r="BT7" s="92" t="s">
        <v>76</v>
      </c>
      <c r="BU7" s="92" t="s">
        <v>77</v>
      </c>
      <c r="BV7" s="92" t="s">
        <v>78</v>
      </c>
      <c r="BW7" s="92" t="s">
        <v>79</v>
      </c>
      <c r="BX7" s="92" t="s">
        <v>80</v>
      </c>
      <c r="BY7" s="92" t="s">
        <v>92</v>
      </c>
      <c r="BZ7" s="92" t="s">
        <v>91</v>
      </c>
      <c r="CA7" s="67"/>
      <c r="CB7" s="134" t="s">
        <v>93</v>
      </c>
      <c r="CC7" s="135" t="s">
        <v>87</v>
      </c>
      <c r="CD7" s="135" t="s">
        <v>88</v>
      </c>
      <c r="CE7" s="135" t="s">
        <v>89</v>
      </c>
      <c r="CF7" s="77"/>
      <c r="CG7" s="152"/>
      <c r="CH7" s="152"/>
      <c r="CI7" s="152"/>
    </row>
    <row r="8" spans="2:87" x14ac:dyDescent="0.2">
      <c r="B8" s="67"/>
      <c r="C8" s="47">
        <v>12345</v>
      </c>
      <c r="D8" s="35" t="s">
        <v>94</v>
      </c>
      <c r="E8" s="36">
        <v>36482</v>
      </c>
      <c r="F8" s="154">
        <f>IF(E8="","",E8+(tab!$D$17*365.25))</f>
        <v>60588.5</v>
      </c>
      <c r="G8" s="155">
        <f>ROUND(IF(E8="",0,(F8-I8)/tab!$D$11),0)</f>
        <v>504</v>
      </c>
      <c r="H8" s="37">
        <v>40179</v>
      </c>
      <c r="I8" s="37">
        <v>45260</v>
      </c>
      <c r="J8" s="38" t="s">
        <v>95</v>
      </c>
      <c r="K8" s="52">
        <v>23854</v>
      </c>
      <c r="L8" s="94">
        <f>IF(K8/tab!$D$10/12&gt;tab!$D$12,tab!$D$12,K8/tab!$D$10/12)</f>
        <v>91.394636015325673</v>
      </c>
      <c r="M8" s="95">
        <f>ROUND(L8*tab!$D$10,0)</f>
        <v>1988</v>
      </c>
      <c r="N8" s="95">
        <f>ROUND(M8*0.75,0)</f>
        <v>1491</v>
      </c>
      <c r="O8" s="95">
        <f>ROUND(M8*0.7,0)</f>
        <v>1392</v>
      </c>
      <c r="P8" s="96">
        <f>ROUNDDOWN((+I8-H8)/30,0)</f>
        <v>169</v>
      </c>
      <c r="Q8" s="96">
        <f>ROUNDDOWN(+P8/12,0)</f>
        <v>14</v>
      </c>
      <c r="R8" s="96">
        <f>IF(H8="",0,MAX(2016-YEAR(H8)-1,0))</f>
        <v>5</v>
      </c>
      <c r="S8" s="97">
        <f>+MIN(IF(P8&lt;6,3,IF(Q8&lt;4,3,IF(Q8&lt;11,Q8,R8*1+(Q8-R8)*0.5))),24,G8)</f>
        <v>9.5</v>
      </c>
      <c r="T8" s="98">
        <f>IFERROR(+EDATE(I8-1,S8),0)</f>
        <v>45533</v>
      </c>
      <c r="U8" s="93">
        <f>(T8-I8)/tab!$D$11</f>
        <v>8.9691991786447645</v>
      </c>
      <c r="V8" s="39">
        <f>((2*N8)+((S8-2)*O8))*(1+tab!$D$15)*(1+tab!$D$16)</f>
        <v>16361.418</v>
      </c>
      <c r="W8" s="40">
        <f>MAX(+MIN(U8-2,4),0)</f>
        <v>4</v>
      </c>
      <c r="X8" s="99">
        <f>IFERROR(+EDATE(I8-1,W8+2),0)</f>
        <v>45441</v>
      </c>
      <c r="Y8" s="39">
        <f>(IF(S8&lt;6,(S8-2)*(N8-O8),(W8*(N8-O8)))*(1+tab!$D$15)*(1+tab!$D$16))</f>
        <v>482.72399999999999</v>
      </c>
      <c r="Z8" s="127" t="s">
        <v>96</v>
      </c>
      <c r="AA8" s="58">
        <f>MIN(MAX(+Q8-S8,0),G8-S8,14)</f>
        <v>4.5</v>
      </c>
      <c r="AB8" s="98">
        <f>+EDATE(T8,AA8)</f>
        <v>45655</v>
      </c>
      <c r="AC8" s="39">
        <f>+(AA8*O8)*(1+tab!$D$15)*(1+tab!$D$16)</f>
        <v>7635.8159999999998</v>
      </c>
      <c r="AD8" s="94">
        <f>IF(K8/tab!$D$10/12&gt;tab!$D$13,tab!$D$13,K8/tab!$D$10/12)</f>
        <v>91.394636015325673</v>
      </c>
      <c r="AE8" s="95">
        <f>ROUND(AD8*tab!$D$10,0)</f>
        <v>1988</v>
      </c>
      <c r="AF8" s="95">
        <f>ROUND(AE8*0.7,0)</f>
        <v>1392</v>
      </c>
      <c r="AG8" s="57" t="str">
        <f>IF($I8-$H8&lt;365,"nee","ja")</f>
        <v>ja</v>
      </c>
      <c r="AH8" s="40">
        <v>34</v>
      </c>
      <c r="AI8" s="40">
        <f>MIN(+IF(AG8="ja",IF(Q8&gt;30,30+(Q8-30)*0.5,Q8),0),34,G8-S8-AA8)</f>
        <v>14</v>
      </c>
      <c r="AJ8" s="98">
        <f>IFERROR(IF(F8-+EDATE(AB8,AI8)&lt;=5,F8,+EDATE(AB8,AI8)),0)</f>
        <v>46081</v>
      </c>
      <c r="AK8" s="39">
        <f>+(AI8*AF8)*(1+tab!$D$15)*(1+tab!$D$16)</f>
        <v>23755.871999999999</v>
      </c>
      <c r="AL8" s="57" t="str">
        <f>IF(AM8=0,"nee",IF(AND(AM8&gt;=12,AN8&lt;=8),"ja","nee"))</f>
        <v>nee</v>
      </c>
      <c r="AM8" s="50">
        <f>ROUNDDOWN((I8-H8)/365.25,0)</f>
        <v>13</v>
      </c>
      <c r="AN8" s="50">
        <f>IF(F8="","",(F8-I8)/365.25)</f>
        <v>41.967145790554412</v>
      </c>
      <c r="AO8" s="41">
        <f>IF(AE8*0.65&gt;tab!$D$14,tab!$D$14,AE8*0.65)</f>
        <v>1292.2</v>
      </c>
      <c r="AP8" s="48">
        <f>ROUND(+(AQ8-AJ8)/30,1)</f>
        <v>0</v>
      </c>
      <c r="AQ8" s="98">
        <f>+IF(AL8="ja",F8,AJ8)</f>
        <v>46081</v>
      </c>
      <c r="AR8" s="39">
        <f>+AP8*AO8*(1+tab!$D$15)*(1+tab!$D$16)</f>
        <v>0</v>
      </c>
      <c r="AS8" s="39">
        <f>AR8+AK8+AC8+Y8+V8</f>
        <v>48235.829999999994</v>
      </c>
      <c r="AT8" s="100">
        <f>IF(ROUND(IF(I8=0,0,((V$3-I8)/tab!$D$11)),0)&lt;1,0,ROUND(IF(I8=0,0,((V$3-I8)/tab!$D$11)),0))</f>
        <v>1</v>
      </c>
      <c r="AU8" s="41">
        <f t="shared" ref="AU8:AU42" si="2">+IF(T8&lt;$V$3,0,(S8-AT8)/S8*V8)</f>
        <v>14639.16347368421</v>
      </c>
      <c r="AV8" s="41">
        <f t="shared" ref="AV8:AV42" si="3">+IF(X8&lt;$V$3,0,(W8-(AT8-2))/W8*Y8)</f>
        <v>603.40499999999997</v>
      </c>
      <c r="AW8" s="41">
        <f t="shared" ref="AW8:AW42" si="4">+IF(AB8&lt;=$V$3,0,IF(T8&gt;$V$3,AC8,(AB8-$V$3)/30/AA8*AC8))</f>
        <v>7635.8159999999998</v>
      </c>
      <c r="AX8" s="41">
        <f t="shared" ref="AX8:AX42" si="5">+IF(AJ8&lt;=$V$3,0,IF(AB8&gt;$V$3,AK8,(AJ8-$V$3)/30/AI8*AK8))</f>
        <v>23755.871999999999</v>
      </c>
      <c r="AY8" s="41">
        <f t="shared" ref="AY8:AY42" si="6">+IF(AQ8&lt;=$V$3,0,IF(AJ8&gt;$V$3,AR8,(AQ8-$V$3)/30/AP8*AR8))</f>
        <v>0</v>
      </c>
      <c r="AZ8" s="39">
        <f t="shared" ref="AZ8:AZ42" si="7">AS8-BA8</f>
        <v>1601.573526315784</v>
      </c>
      <c r="BA8" s="101">
        <f>SUM(AU8:AY8)</f>
        <v>46634.256473684211</v>
      </c>
      <c r="BB8" s="102">
        <f>IF(J8="ja",tab!$K$3,tab!$K$4)</f>
        <v>0.5</v>
      </c>
      <c r="BC8" s="101">
        <f>IF(J8="ja",tab!$K$3*BA8,tab!$K$4*BA8)</f>
        <v>23317.128236842105</v>
      </c>
      <c r="BD8" s="53">
        <v>1</v>
      </c>
      <c r="BE8" s="103">
        <f>BC8*BD8</f>
        <v>23317.128236842105</v>
      </c>
      <c r="BF8" s="104">
        <f t="shared" ref="BF8:BF42" si="8">+MIN(BC8-BR8,BE8)</f>
        <v>11326.069036842106</v>
      </c>
      <c r="BG8" s="104">
        <f t="shared" ref="BG8:BG42" si="9">+MIN(BC8-BZ8-BF8,BE8-BF8)</f>
        <v>11991.0592</v>
      </c>
      <c r="BH8" s="104">
        <f>+BE8-BF8-BG8</f>
        <v>0</v>
      </c>
      <c r="BI8" s="77"/>
      <c r="BJ8" s="59"/>
      <c r="BK8" s="59"/>
      <c r="BL8" s="49">
        <f t="shared" ref="BL8:BL42" si="10">+IF(T8&lt;$BQ$3,0,(S8-AT8-12)/S8*V8)</f>
        <v>0</v>
      </c>
      <c r="BM8" s="49"/>
      <c r="BN8" s="49">
        <f t="shared" ref="BN8:BN42" si="11">+IF(AB8&lt;=$BQ$3,0,IF(T8&gt;$BQ$3,AC8,(AB8-$BQ$3)/30/AA8*AC8))</f>
        <v>0</v>
      </c>
      <c r="BO8" s="49">
        <f t="shared" ref="BO8:BO42" si="12">+IF(AJ8&lt;=$BQ$3,0,IF(AB8&gt;$BQ$3,AK8,(AJ8-$BQ$3)/30/AI8*AK8))</f>
        <v>23982.118399999999</v>
      </c>
      <c r="BP8" s="49">
        <f t="shared" ref="BP8:BP42" si="13">+IF(AQ8&lt;=$BQ$3,0,IF(AJ8&gt;$BQ$3,AR8,(AQ8-$BQ$3)/30/AP8*AR8))</f>
        <v>0</v>
      </c>
      <c r="BQ8" s="49">
        <f>SUM(BL8:BP8)</f>
        <v>23982.118399999999</v>
      </c>
      <c r="BR8" s="49">
        <f t="shared" ref="BR8:BR42" si="14">+BQ8*BB8</f>
        <v>11991.0592</v>
      </c>
      <c r="BS8" s="84"/>
      <c r="BT8" s="49"/>
      <c r="BU8" s="49"/>
      <c r="BV8" s="49"/>
      <c r="BW8" s="49">
        <f t="shared" ref="BW8:BW42" si="15">+IF(AJ8&lt;=$BY$3,0,IF(AB8&gt;$BY$3,AK8,(AJ8-$BY$3)/30/AI8*AK8))</f>
        <v>0</v>
      </c>
      <c r="BX8" s="49">
        <f t="shared" ref="BX8:BX42" si="16">+IF(AQ8&lt;=$BY$3,0,IF(AJ8&gt;$BY$3,AR8,(AQ8-$BY$3)/30/AP8*AR8))</f>
        <v>0</v>
      </c>
      <c r="BY8" s="105">
        <f>SUM(BT8:BX8)</f>
        <v>0</v>
      </c>
      <c r="BZ8" s="49">
        <f t="shared" ref="BZ8:BZ42" si="17">+BY8*BB8</f>
        <v>0</v>
      </c>
      <c r="CA8" s="67"/>
      <c r="CB8" s="136">
        <f>SUM(CC8:CE8)</f>
        <v>23022.520222029481</v>
      </c>
      <c r="CC8" s="137">
        <f>BF8</f>
        <v>11326.069036842106</v>
      </c>
      <c r="CD8" s="137">
        <f>BG8/((1+tab!$D$20)^2.5)</f>
        <v>11696.451185187374</v>
      </c>
      <c r="CE8" s="137">
        <f>BH8/((1+tab!$D$20)^6.5)</f>
        <v>0</v>
      </c>
      <c r="CF8" s="77"/>
      <c r="CG8" s="153"/>
      <c r="CH8" s="153"/>
      <c r="CI8" s="153"/>
    </row>
    <row r="9" spans="2:87" x14ac:dyDescent="0.2">
      <c r="B9" s="67"/>
      <c r="C9" s="47"/>
      <c r="D9" s="35"/>
      <c r="E9" s="36">
        <v>36482</v>
      </c>
      <c r="F9" s="154">
        <f>IF(E9="","",E9+(tab!$D$17*365.25))</f>
        <v>60588.5</v>
      </c>
      <c r="G9" s="155">
        <f>ROUND(IF(E9="",0,(F9-I9)/tab!$D$11),0)</f>
        <v>492</v>
      </c>
      <c r="H9" s="37">
        <v>40544</v>
      </c>
      <c r="I9" s="37">
        <v>45626</v>
      </c>
      <c r="J9" s="38" t="s">
        <v>95</v>
      </c>
      <c r="K9" s="52">
        <v>23854</v>
      </c>
      <c r="L9" s="94">
        <f>IF(K9/tab!$D$10/12&gt;tab!$D$12,tab!$D$12,K9/tab!$D$10/12)</f>
        <v>91.394636015325673</v>
      </c>
      <c r="M9" s="95">
        <f>ROUND(L9*tab!$D$10,0)</f>
        <v>1988</v>
      </c>
      <c r="N9" s="95">
        <f t="shared" ref="N9:N42" si="18">ROUND(M9*0.75,0)</f>
        <v>1491</v>
      </c>
      <c r="O9" s="95">
        <f t="shared" ref="O9:O42" si="19">ROUND(M9*0.7,0)</f>
        <v>1392</v>
      </c>
      <c r="P9" s="96">
        <f t="shared" ref="P9:P42" si="20">ROUNDDOWN((+I9-H9)/30,0)</f>
        <v>169</v>
      </c>
      <c r="Q9" s="96">
        <f t="shared" ref="Q9:Q42" si="21">ROUNDDOWN(+P9/12,0)</f>
        <v>14</v>
      </c>
      <c r="R9" s="96">
        <f t="shared" ref="R9:R42" si="22">IF(H9="",0,MAX(2016-YEAR(H9)-1,0))</f>
        <v>4</v>
      </c>
      <c r="S9" s="97">
        <f t="shared" ref="S9:S42" si="23">+MIN(IF(P9&lt;6,3,IF(Q9&lt;4,3,IF(Q9&lt;11,Q9,R9*1+(Q9-R9)*0.5))),24,G9)</f>
        <v>9</v>
      </c>
      <c r="T9" s="98">
        <f t="shared" ref="T9:T42" si="24">IFERROR(+EDATE(I9-1,S9),0)</f>
        <v>45898</v>
      </c>
      <c r="U9" s="93">
        <f>(T9-I9)/tab!$D$11</f>
        <v>8.9363449691991779</v>
      </c>
      <c r="V9" s="39">
        <f>((2*N9)+((S9-2)*O9))*(1+tab!$D$15)*(1+tab!$D$16)</f>
        <v>15512.994000000001</v>
      </c>
      <c r="W9" s="40">
        <f t="shared" ref="W9:W42" si="25">MAX(+MIN(U9-2,4),0)</f>
        <v>4</v>
      </c>
      <c r="X9" s="99">
        <f t="shared" ref="X9:X42" si="26">IFERROR(+EDATE(I9-1,W9+2),0)</f>
        <v>45806</v>
      </c>
      <c r="Y9" s="39">
        <f>(IF(S9&lt;6,(S9-2)*(N9-O9),(W9*(N9-O9)))*(1+tab!$D$15)*(1+tab!$D$16))</f>
        <v>482.72399999999999</v>
      </c>
      <c r="Z9" s="127" t="s">
        <v>96</v>
      </c>
      <c r="AA9" s="58">
        <f t="shared" ref="AA9:AA42" si="27">MIN(MAX(+Q9-S9,0),G9-S9,14)</f>
        <v>5</v>
      </c>
      <c r="AB9" s="98">
        <f t="shared" ref="AB9:AB42" si="28">+EDATE(T9,AA9)</f>
        <v>46051</v>
      </c>
      <c r="AC9" s="39">
        <f>+(AA9*O9)*(1+tab!$D$15)*(1+tab!$D$16)</f>
        <v>8484.24</v>
      </c>
      <c r="AD9" s="94">
        <f>IF(K9/tab!$D$10/12&gt;tab!$D$13,tab!$D$13,K9/tab!$D$10/12)</f>
        <v>91.394636015325673</v>
      </c>
      <c r="AE9" s="95">
        <f>ROUND(AD9*tab!$D$10,0)</f>
        <v>1988</v>
      </c>
      <c r="AF9" s="95">
        <f t="shared" ref="AF9:AF42" si="29">ROUND(AE9*0.7,0)</f>
        <v>1392</v>
      </c>
      <c r="AG9" s="57" t="str">
        <f t="shared" ref="AG9:AG42" si="30">IF($I9-$H9&lt;365,"nee","ja")</f>
        <v>ja</v>
      </c>
      <c r="AH9" s="40">
        <v>34</v>
      </c>
      <c r="AI9" s="40">
        <f t="shared" ref="AI9:AI42" si="31">MIN(+IF(AG9="ja",IF(Q9&gt;30,30+(Q9-30)*0.5,Q9),0),34,G9-S9-AA9)</f>
        <v>14</v>
      </c>
      <c r="AJ9" s="98">
        <f t="shared" ref="AJ9:AJ42" si="32">IFERROR(IF(F9-+EDATE(AB9,AI9)&lt;=5,F9,+EDATE(AB9,AI9)),0)</f>
        <v>46475</v>
      </c>
      <c r="AK9" s="39">
        <f>+(AI9*AF9)*(1+tab!$D$15)*(1+tab!$D$16)</f>
        <v>23755.871999999999</v>
      </c>
      <c r="AL9" s="57" t="str">
        <f t="shared" ref="AL9:AL42" si="33">IF(AM9=0,"nee",IF(AND(AM9&gt;=12,AN9&lt;=8),"ja","nee"))</f>
        <v>nee</v>
      </c>
      <c r="AM9" s="50">
        <f t="shared" ref="AM9:AM42" si="34">ROUNDDOWN((I9-H9)/365.25,0)</f>
        <v>13</v>
      </c>
      <c r="AN9" s="50">
        <f t="shared" ref="AN9:AN42" si="35">IF(F9="","",(F9-I9)/365.25)</f>
        <v>40.965092402464066</v>
      </c>
      <c r="AO9" s="41">
        <f>IF(AE9*0.65&gt;tab!$D$14,tab!$D$14,AE9*0.65)</f>
        <v>1292.2</v>
      </c>
      <c r="AP9" s="48">
        <f t="shared" ref="AP9:AP42" si="36">ROUND(+(AQ9-AJ9)/30,1)</f>
        <v>0</v>
      </c>
      <c r="AQ9" s="98">
        <f t="shared" ref="AQ9:AQ42" si="37">+IF(AL9="ja",F9,AJ9)</f>
        <v>46475</v>
      </c>
      <c r="AR9" s="39">
        <f>+AP9*AO9*(1+tab!$D$15)*(1+tab!$D$16)</f>
        <v>0</v>
      </c>
      <c r="AS9" s="39">
        <f t="shared" ref="AS9:AS42" si="38">AR9+AK9+AC9+Y9+V9</f>
        <v>48235.83</v>
      </c>
      <c r="AT9" s="100">
        <f>IF(ROUND(IF(I9=0,0,((V$3-I9)/tab!$D$11)),0)&lt;1,0,ROUND(IF(I9=0,0,((V$3-I9)/tab!$D$11)),0))</f>
        <v>0</v>
      </c>
      <c r="AU9" s="41">
        <f t="shared" si="2"/>
        <v>15512.994000000001</v>
      </c>
      <c r="AV9" s="41">
        <f t="shared" si="3"/>
        <v>724.08600000000001</v>
      </c>
      <c r="AW9" s="41">
        <f t="shared" si="4"/>
        <v>8484.24</v>
      </c>
      <c r="AX9" s="41">
        <f t="shared" si="5"/>
        <v>23755.871999999999</v>
      </c>
      <c r="AY9" s="41">
        <f t="shared" si="6"/>
        <v>0</v>
      </c>
      <c r="AZ9" s="39">
        <f t="shared" si="7"/>
        <v>-241.36199999999371</v>
      </c>
      <c r="BA9" s="101">
        <f t="shared" ref="BA9:BA42" si="39">SUM(AU9:AY9)</f>
        <v>48477.191999999995</v>
      </c>
      <c r="BB9" s="102">
        <f>IF(J9="ja",tab!$K$3,tab!$K$4)</f>
        <v>0.5</v>
      </c>
      <c r="BC9" s="101">
        <f>IF(J9="ja",tab!$K$3*BA9,tab!$K$4*BA9)</f>
        <v>24238.595999999998</v>
      </c>
      <c r="BD9" s="53">
        <v>1</v>
      </c>
      <c r="BE9" s="103">
        <f t="shared" ref="BE9:BE42" si="40">BC9*BD9</f>
        <v>24238.595999999998</v>
      </c>
      <c r="BF9" s="104">
        <f t="shared" si="8"/>
        <v>10704.038999999997</v>
      </c>
      <c r="BG9" s="104">
        <f t="shared" si="9"/>
        <v>13534.557000000001</v>
      </c>
      <c r="BH9" s="104">
        <f t="shared" ref="BH9:BH42" si="41">+BE9-BF9-BG9</f>
        <v>0</v>
      </c>
      <c r="BI9" s="77"/>
      <c r="BJ9" s="59"/>
      <c r="BK9" s="59"/>
      <c r="BL9" s="49">
        <f t="shared" si="10"/>
        <v>-5170.9979999999996</v>
      </c>
      <c r="BM9" s="49"/>
      <c r="BN9" s="49">
        <f t="shared" si="11"/>
        <v>8484.24</v>
      </c>
      <c r="BO9" s="49">
        <f t="shared" si="12"/>
        <v>23755.871999999999</v>
      </c>
      <c r="BP9" s="49">
        <f t="shared" si="13"/>
        <v>0</v>
      </c>
      <c r="BQ9" s="49">
        <f t="shared" ref="BQ9:BQ42" si="42">SUM(BL9:BP9)</f>
        <v>27069.114000000001</v>
      </c>
      <c r="BR9" s="49">
        <f t="shared" si="14"/>
        <v>13534.557000000001</v>
      </c>
      <c r="BS9" s="84"/>
      <c r="BT9" s="49"/>
      <c r="BU9" s="49"/>
      <c r="BV9" s="49"/>
      <c r="BW9" s="49">
        <f t="shared" si="15"/>
        <v>0</v>
      </c>
      <c r="BX9" s="49">
        <f t="shared" si="16"/>
        <v>0</v>
      </c>
      <c r="BY9" s="105">
        <f t="shared" ref="BY9:BY42" si="43">SUM(BT9:BX9)</f>
        <v>0</v>
      </c>
      <c r="BZ9" s="49">
        <f t="shared" si="17"/>
        <v>0</v>
      </c>
      <c r="CA9" s="67"/>
      <c r="CB9" s="136">
        <f t="shared" ref="CB9:CB42" si="44">SUM(CC9:CE9)</f>
        <v>23906.065828758885</v>
      </c>
      <c r="CC9" s="137">
        <f t="shared" ref="CC9:CC42" si="45">BF9</f>
        <v>10704.038999999997</v>
      </c>
      <c r="CD9" s="137">
        <f>BG9/((1+tab!$D$20)^2.5)</f>
        <v>13202.026828758888</v>
      </c>
      <c r="CE9" s="137">
        <f>BH9/((1+tab!$D$20)^6.5)</f>
        <v>0</v>
      </c>
      <c r="CF9" s="77"/>
      <c r="CG9" s="153"/>
      <c r="CH9" s="153"/>
      <c r="CI9" s="153"/>
    </row>
    <row r="10" spans="2:87" x14ac:dyDescent="0.2">
      <c r="B10" s="67"/>
      <c r="C10" s="47"/>
      <c r="D10" s="35"/>
      <c r="E10" s="36">
        <v>36482</v>
      </c>
      <c r="F10" s="154">
        <f>IF(E10="","",E10+(tab!$D$17*365.25))</f>
        <v>60588.5</v>
      </c>
      <c r="G10" s="155">
        <f>ROUND(IF(E10="",0,(F10-I10)/tab!$D$11),0)</f>
        <v>516</v>
      </c>
      <c r="H10" s="37">
        <v>39814</v>
      </c>
      <c r="I10" s="37">
        <v>44895</v>
      </c>
      <c r="J10" s="38" t="s">
        <v>95</v>
      </c>
      <c r="K10" s="52">
        <v>23854</v>
      </c>
      <c r="L10" s="94">
        <f>IF(K10/tab!$D$10/12&gt;tab!$D$12,tab!$D$12,K10/tab!$D$10/12)</f>
        <v>91.394636015325673</v>
      </c>
      <c r="M10" s="95">
        <f>ROUND(L10*tab!$D$10,0)</f>
        <v>1988</v>
      </c>
      <c r="N10" s="95">
        <f t="shared" si="18"/>
        <v>1491</v>
      </c>
      <c r="O10" s="95">
        <f t="shared" si="19"/>
        <v>1392</v>
      </c>
      <c r="P10" s="96">
        <f t="shared" si="20"/>
        <v>169</v>
      </c>
      <c r="Q10" s="96">
        <f t="shared" si="21"/>
        <v>14</v>
      </c>
      <c r="R10" s="96">
        <f t="shared" si="22"/>
        <v>6</v>
      </c>
      <c r="S10" s="97">
        <f t="shared" si="23"/>
        <v>10</v>
      </c>
      <c r="T10" s="98">
        <f t="shared" si="24"/>
        <v>45198</v>
      </c>
      <c r="U10" s="93">
        <f>(T10-I10)/tab!$D$11</f>
        <v>9.9548254620123195</v>
      </c>
      <c r="V10" s="39">
        <f>((2*N10)+((S10-2)*O10))*(1+tab!$D$15)*(1+tab!$D$16)</f>
        <v>17209.842000000001</v>
      </c>
      <c r="W10" s="40">
        <f t="shared" si="25"/>
        <v>4</v>
      </c>
      <c r="X10" s="99">
        <f t="shared" si="26"/>
        <v>45075</v>
      </c>
      <c r="Y10" s="39">
        <f>(IF(S10&lt;6,(S10-2)*(N10-O10),(W10*(N10-O10)))*(1+tab!$D$15)*(1+tab!$D$16))</f>
        <v>482.72399999999999</v>
      </c>
      <c r="Z10" s="127" t="s">
        <v>96</v>
      </c>
      <c r="AA10" s="58">
        <f t="shared" si="27"/>
        <v>4</v>
      </c>
      <c r="AB10" s="98">
        <f t="shared" si="28"/>
        <v>45320</v>
      </c>
      <c r="AC10" s="39">
        <f>+(AA10*O10)*(1+tab!$D$15)*(1+tab!$D$16)</f>
        <v>6787.3919999999998</v>
      </c>
      <c r="AD10" s="94">
        <f>IF(K10/tab!$D$10/12&gt;tab!$D$13,tab!$D$13,K10/tab!$D$10/12)</f>
        <v>91.394636015325673</v>
      </c>
      <c r="AE10" s="95">
        <f>ROUND(AD10*tab!$D$10,0)</f>
        <v>1988</v>
      </c>
      <c r="AF10" s="95">
        <f t="shared" si="29"/>
        <v>1392</v>
      </c>
      <c r="AG10" s="57" t="str">
        <f t="shared" si="30"/>
        <v>ja</v>
      </c>
      <c r="AH10" s="40">
        <v>34</v>
      </c>
      <c r="AI10" s="40">
        <f t="shared" si="31"/>
        <v>14</v>
      </c>
      <c r="AJ10" s="98">
        <f t="shared" si="32"/>
        <v>45745</v>
      </c>
      <c r="AK10" s="39">
        <f>+(AI10*AF10)*(1+tab!$D$15)*(1+tab!$D$16)</f>
        <v>23755.871999999999</v>
      </c>
      <c r="AL10" s="57" t="str">
        <f t="shared" si="33"/>
        <v>nee</v>
      </c>
      <c r="AM10" s="50">
        <f t="shared" si="34"/>
        <v>13</v>
      </c>
      <c r="AN10" s="50">
        <f t="shared" si="35"/>
        <v>42.96646132785763</v>
      </c>
      <c r="AO10" s="41">
        <f>IF(AE10*0.65&gt;tab!$D$14,tab!$D$14,AE10*0.65)</f>
        <v>1292.2</v>
      </c>
      <c r="AP10" s="48">
        <f t="shared" si="36"/>
        <v>0</v>
      </c>
      <c r="AQ10" s="98">
        <f t="shared" si="37"/>
        <v>45745</v>
      </c>
      <c r="AR10" s="39">
        <f>+AP10*AO10*(1+tab!$D$15)*(1+tab!$D$16)</f>
        <v>0</v>
      </c>
      <c r="AS10" s="39">
        <f t="shared" si="38"/>
        <v>48235.83</v>
      </c>
      <c r="AT10" s="100">
        <f>IF(ROUND(IF(I10=0,0,((V$3-I10)/tab!$D$11)),0)&lt;1,0,ROUND(IF(I10=0,0,((V$3-I10)/tab!$D$11)),0))</f>
        <v>13</v>
      </c>
      <c r="AU10" s="41">
        <f t="shared" si="2"/>
        <v>0</v>
      </c>
      <c r="AV10" s="41">
        <f t="shared" si="3"/>
        <v>0</v>
      </c>
      <c r="AW10" s="41">
        <f t="shared" si="4"/>
        <v>1640.2864</v>
      </c>
      <c r="AX10" s="41">
        <f t="shared" si="5"/>
        <v>23755.871999999999</v>
      </c>
      <c r="AY10" s="41">
        <f t="shared" si="6"/>
        <v>0</v>
      </c>
      <c r="AZ10" s="39">
        <f t="shared" si="7"/>
        <v>22839.671600000001</v>
      </c>
      <c r="BA10" s="101">
        <f t="shared" si="39"/>
        <v>25396.1584</v>
      </c>
      <c r="BB10" s="102">
        <f>IF(J10="ja",tab!$K$3,tab!$K$4)</f>
        <v>0.5</v>
      </c>
      <c r="BC10" s="101">
        <f>IF(J10="ja",tab!$K$3*BA10,tab!$K$4*BA10)</f>
        <v>12698.0792</v>
      </c>
      <c r="BD10" s="53">
        <v>1</v>
      </c>
      <c r="BE10" s="103">
        <f t="shared" si="40"/>
        <v>12698.0792</v>
      </c>
      <c r="BF10" s="104">
        <f t="shared" si="8"/>
        <v>10209.3688</v>
      </c>
      <c r="BG10" s="104">
        <f t="shared" si="9"/>
        <v>2488.7103999999999</v>
      </c>
      <c r="BH10" s="104">
        <f t="shared" si="41"/>
        <v>0</v>
      </c>
      <c r="BI10" s="77"/>
      <c r="BJ10" s="59"/>
      <c r="BK10" s="59"/>
      <c r="BL10" s="49">
        <f t="shared" si="10"/>
        <v>0</v>
      </c>
      <c r="BM10" s="49"/>
      <c r="BN10" s="49">
        <f t="shared" si="11"/>
        <v>0</v>
      </c>
      <c r="BO10" s="49">
        <f t="shared" si="12"/>
        <v>4977.420799999999</v>
      </c>
      <c r="BP10" s="49">
        <f t="shared" si="13"/>
        <v>0</v>
      </c>
      <c r="BQ10" s="49">
        <f t="shared" si="42"/>
        <v>4977.420799999999</v>
      </c>
      <c r="BR10" s="49">
        <f t="shared" si="14"/>
        <v>2488.7103999999995</v>
      </c>
      <c r="BS10" s="84"/>
      <c r="BT10" s="49"/>
      <c r="BU10" s="49"/>
      <c r="BV10" s="49"/>
      <c r="BW10" s="49">
        <f t="shared" si="15"/>
        <v>0</v>
      </c>
      <c r="BX10" s="49">
        <f t="shared" si="16"/>
        <v>0</v>
      </c>
      <c r="BY10" s="105">
        <f t="shared" si="43"/>
        <v>0</v>
      </c>
      <c r="BZ10" s="49">
        <f t="shared" si="17"/>
        <v>0</v>
      </c>
      <c r="CA10" s="67"/>
      <c r="CB10" s="136">
        <f t="shared" si="44"/>
        <v>12636.934140321908</v>
      </c>
      <c r="CC10" s="137">
        <f t="shared" si="45"/>
        <v>10209.3688</v>
      </c>
      <c r="CD10" s="137">
        <f>BG10/((1+tab!$D$20)^2.5)</f>
        <v>2427.5653403219076</v>
      </c>
      <c r="CE10" s="137">
        <f>BH10/((1+tab!$D$20)^6.5)</f>
        <v>0</v>
      </c>
      <c r="CF10" s="77"/>
      <c r="CG10" s="153"/>
      <c r="CH10" s="153"/>
      <c r="CI10" s="153"/>
    </row>
    <row r="11" spans="2:87" x14ac:dyDescent="0.2">
      <c r="B11" s="67"/>
      <c r="C11" s="47"/>
      <c r="D11" s="35"/>
      <c r="E11" s="36"/>
      <c r="F11" s="154" t="str">
        <f>IF(E11="","",E11+(tab!$D$17*365.25))</f>
        <v/>
      </c>
      <c r="G11" s="155">
        <f>ROUND(IF(E11="",0,(F11-I11)/tab!$D$11),0)</f>
        <v>0</v>
      </c>
      <c r="H11" s="37"/>
      <c r="I11" s="37"/>
      <c r="J11" s="38" t="s">
        <v>95</v>
      </c>
      <c r="K11" s="52"/>
      <c r="L11" s="94">
        <f>IF(K11/tab!$D$10/12&gt;tab!$D$12,tab!$D$12,K11/tab!$D$10/12)</f>
        <v>0</v>
      </c>
      <c r="M11" s="95">
        <f>ROUND(L11*tab!$D$10,0)</f>
        <v>0</v>
      </c>
      <c r="N11" s="95">
        <f t="shared" si="18"/>
        <v>0</v>
      </c>
      <c r="O11" s="95">
        <f t="shared" si="19"/>
        <v>0</v>
      </c>
      <c r="P11" s="96">
        <f t="shared" si="20"/>
        <v>0</v>
      </c>
      <c r="Q11" s="96">
        <f t="shared" si="21"/>
        <v>0</v>
      </c>
      <c r="R11" s="96">
        <f t="shared" si="22"/>
        <v>0</v>
      </c>
      <c r="S11" s="97">
        <f t="shared" si="23"/>
        <v>0</v>
      </c>
      <c r="T11" s="98">
        <f t="shared" si="24"/>
        <v>0</v>
      </c>
      <c r="U11" s="93">
        <f>(T11-I11)/tab!$D$11</f>
        <v>0</v>
      </c>
      <c r="V11" s="39">
        <f>((2*N11)+((S11-2)*O11))*(1+tab!$D$15)*(1+tab!$D$16)</f>
        <v>0</v>
      </c>
      <c r="W11" s="40">
        <f t="shared" si="25"/>
        <v>0</v>
      </c>
      <c r="X11" s="99">
        <f t="shared" si="26"/>
        <v>0</v>
      </c>
      <c r="Y11" s="39">
        <f>(IF(S11&lt;6,(S11-2)*(N11-O11),(W11*(N11-O11)))*(1+tab!$D$15)*(1+tab!$D$16))</f>
        <v>0</v>
      </c>
      <c r="Z11" s="127" t="s">
        <v>96</v>
      </c>
      <c r="AA11" s="58">
        <f t="shared" si="27"/>
        <v>0</v>
      </c>
      <c r="AB11" s="98">
        <f t="shared" si="28"/>
        <v>0</v>
      </c>
      <c r="AC11" s="39">
        <f>+(AA11*O11)*(1+tab!$D$15)*(1+tab!$D$16)</f>
        <v>0</v>
      </c>
      <c r="AD11" s="94">
        <f>IF(K11/tab!$D$10/12&gt;tab!$D$13,tab!$D$13,K11/tab!$D$10/12)</f>
        <v>0</v>
      </c>
      <c r="AE11" s="95">
        <f>ROUND(AD11*tab!$D$10,0)</f>
        <v>0</v>
      </c>
      <c r="AF11" s="95">
        <f t="shared" si="29"/>
        <v>0</v>
      </c>
      <c r="AG11" s="57" t="str">
        <f t="shared" si="30"/>
        <v>nee</v>
      </c>
      <c r="AH11" s="40">
        <v>34</v>
      </c>
      <c r="AI11" s="40">
        <f t="shared" si="31"/>
        <v>0</v>
      </c>
      <c r="AJ11" s="98">
        <f t="shared" si="32"/>
        <v>0</v>
      </c>
      <c r="AK11" s="39">
        <f>+(AI11*AF11)*(1+tab!$D$15)*(1+tab!$D$16)</f>
        <v>0</v>
      </c>
      <c r="AL11" s="57" t="str">
        <f t="shared" si="33"/>
        <v>nee</v>
      </c>
      <c r="AM11" s="50">
        <f t="shared" si="34"/>
        <v>0</v>
      </c>
      <c r="AN11" s="50" t="str">
        <f t="shared" si="35"/>
        <v/>
      </c>
      <c r="AO11" s="41">
        <f>IF(AE11*0.65&gt;tab!$D$14,tab!$D$14,AE11*0.65)</f>
        <v>0</v>
      </c>
      <c r="AP11" s="48">
        <f t="shared" si="36"/>
        <v>0</v>
      </c>
      <c r="AQ11" s="98">
        <f t="shared" si="37"/>
        <v>0</v>
      </c>
      <c r="AR11" s="39">
        <f>+AP11*AO11*(1+tab!$D$15)*(1+tab!$D$16)</f>
        <v>0</v>
      </c>
      <c r="AS11" s="39">
        <f t="shared" si="38"/>
        <v>0</v>
      </c>
      <c r="AT11" s="100">
        <f>IF(ROUND(IF(I11=0,0,((V$3-I11)/tab!$D$11)),0)&lt;1,0,ROUND(IF(I11=0,0,((V$3-I11)/tab!$D$11)),0))</f>
        <v>0</v>
      </c>
      <c r="AU11" s="41">
        <f t="shared" si="2"/>
        <v>0</v>
      </c>
      <c r="AV11" s="41">
        <f t="shared" si="3"/>
        <v>0</v>
      </c>
      <c r="AW11" s="41">
        <f t="shared" si="4"/>
        <v>0</v>
      </c>
      <c r="AX11" s="41">
        <f t="shared" si="5"/>
        <v>0</v>
      </c>
      <c r="AY11" s="41">
        <f t="shared" si="6"/>
        <v>0</v>
      </c>
      <c r="AZ11" s="39">
        <f t="shared" si="7"/>
        <v>0</v>
      </c>
      <c r="BA11" s="101">
        <f t="shared" si="39"/>
        <v>0</v>
      </c>
      <c r="BB11" s="102">
        <f>IF(J11="ja",tab!$K$3,tab!$K$4)</f>
        <v>0.5</v>
      </c>
      <c r="BC11" s="101">
        <f>IF(J11="ja",tab!$K$3*BA11,tab!$K$4*BA11)</f>
        <v>0</v>
      </c>
      <c r="BD11" s="53"/>
      <c r="BE11" s="103">
        <f t="shared" si="40"/>
        <v>0</v>
      </c>
      <c r="BF11" s="104">
        <f t="shared" si="8"/>
        <v>0</v>
      </c>
      <c r="BG11" s="104">
        <f t="shared" si="9"/>
        <v>0</v>
      </c>
      <c r="BH11" s="104">
        <f t="shared" si="41"/>
        <v>0</v>
      </c>
      <c r="BI11" s="77"/>
      <c r="BJ11" s="59"/>
      <c r="BK11" s="59"/>
      <c r="BL11" s="49">
        <f t="shared" si="10"/>
        <v>0</v>
      </c>
      <c r="BM11" s="49"/>
      <c r="BN11" s="49">
        <f t="shared" si="11"/>
        <v>0</v>
      </c>
      <c r="BO11" s="49">
        <f t="shared" si="12"/>
        <v>0</v>
      </c>
      <c r="BP11" s="49">
        <f t="shared" si="13"/>
        <v>0</v>
      </c>
      <c r="BQ11" s="49">
        <f t="shared" si="42"/>
        <v>0</v>
      </c>
      <c r="BR11" s="49">
        <f t="shared" si="14"/>
        <v>0</v>
      </c>
      <c r="BS11" s="84"/>
      <c r="BT11" s="49"/>
      <c r="BU11" s="49"/>
      <c r="BV11" s="49"/>
      <c r="BW11" s="49">
        <f t="shared" si="15"/>
        <v>0</v>
      </c>
      <c r="BX11" s="49">
        <f t="shared" si="16"/>
        <v>0</v>
      </c>
      <c r="BY11" s="105">
        <f t="shared" si="43"/>
        <v>0</v>
      </c>
      <c r="BZ11" s="49">
        <f t="shared" si="17"/>
        <v>0</v>
      </c>
      <c r="CA11" s="67"/>
      <c r="CB11" s="136">
        <f t="shared" si="44"/>
        <v>0</v>
      </c>
      <c r="CC11" s="137">
        <f t="shared" si="45"/>
        <v>0</v>
      </c>
      <c r="CD11" s="137">
        <f>BG11/((1+tab!$D$20)^2.5)</f>
        <v>0</v>
      </c>
      <c r="CE11" s="137">
        <f>BH11/((1+tab!$D$20)^6.5)</f>
        <v>0</v>
      </c>
      <c r="CF11" s="77"/>
      <c r="CG11" s="153"/>
      <c r="CH11" s="153"/>
      <c r="CI11" s="153"/>
    </row>
    <row r="12" spans="2:87" x14ac:dyDescent="0.2">
      <c r="B12" s="67"/>
      <c r="C12" s="47"/>
      <c r="D12" s="35"/>
      <c r="E12" s="36"/>
      <c r="F12" s="154" t="str">
        <f>IF(E12="","",E12+(tab!$D$17*365.25))</f>
        <v/>
      </c>
      <c r="G12" s="155">
        <f>ROUND(IF(E12="",0,(F12-I12)/tab!$D$11),0)</f>
        <v>0</v>
      </c>
      <c r="H12" s="37"/>
      <c r="I12" s="37"/>
      <c r="J12" s="38" t="s">
        <v>95</v>
      </c>
      <c r="K12" s="52"/>
      <c r="L12" s="94">
        <f>IF(K12/tab!$D$10/12&gt;tab!$D$12,tab!$D$12,K12/tab!$D$10/12)</f>
        <v>0</v>
      </c>
      <c r="M12" s="95">
        <f>ROUND(L12*tab!$D$10,0)</f>
        <v>0</v>
      </c>
      <c r="N12" s="95">
        <f t="shared" si="18"/>
        <v>0</v>
      </c>
      <c r="O12" s="95">
        <f t="shared" si="19"/>
        <v>0</v>
      </c>
      <c r="P12" s="96">
        <f t="shared" si="20"/>
        <v>0</v>
      </c>
      <c r="Q12" s="96">
        <f t="shared" si="21"/>
        <v>0</v>
      </c>
      <c r="R12" s="96">
        <f t="shared" si="22"/>
        <v>0</v>
      </c>
      <c r="S12" s="97">
        <f t="shared" si="23"/>
        <v>0</v>
      </c>
      <c r="T12" s="98">
        <f t="shared" si="24"/>
        <v>0</v>
      </c>
      <c r="U12" s="93">
        <f>(T12-I12)/tab!$D$11</f>
        <v>0</v>
      </c>
      <c r="V12" s="39">
        <f>((2*N12)+((S12-2)*O12))*(1+tab!$D$15)*(1+tab!$D$16)</f>
        <v>0</v>
      </c>
      <c r="W12" s="40">
        <f t="shared" si="25"/>
        <v>0</v>
      </c>
      <c r="X12" s="99">
        <f t="shared" si="26"/>
        <v>0</v>
      </c>
      <c r="Y12" s="39">
        <f>(IF(S12&lt;6,(S12-2)*(N12-O12),(W12*(N12-O12)))*(1+tab!$D$15)*(1+tab!$D$16))</f>
        <v>0</v>
      </c>
      <c r="Z12" s="127" t="s">
        <v>96</v>
      </c>
      <c r="AA12" s="58">
        <f t="shared" si="27"/>
        <v>0</v>
      </c>
      <c r="AB12" s="98">
        <f t="shared" si="28"/>
        <v>0</v>
      </c>
      <c r="AC12" s="39">
        <f>+(AA12*O12)*(1+tab!$D$15)*(1+tab!$D$16)</f>
        <v>0</v>
      </c>
      <c r="AD12" s="94">
        <f>IF(K12/tab!$D$10/12&gt;tab!$D$13,tab!$D$13,K12/tab!$D$10/12)</f>
        <v>0</v>
      </c>
      <c r="AE12" s="95">
        <f>ROUND(AD12*tab!$D$10,0)</f>
        <v>0</v>
      </c>
      <c r="AF12" s="95">
        <f t="shared" si="29"/>
        <v>0</v>
      </c>
      <c r="AG12" s="57" t="str">
        <f t="shared" si="30"/>
        <v>nee</v>
      </c>
      <c r="AH12" s="40">
        <v>34</v>
      </c>
      <c r="AI12" s="40">
        <f t="shared" si="31"/>
        <v>0</v>
      </c>
      <c r="AJ12" s="98">
        <f t="shared" si="32"/>
        <v>0</v>
      </c>
      <c r="AK12" s="39">
        <f>+(AI12*AF12)*(1+tab!$D$15)*(1+tab!$D$16)</f>
        <v>0</v>
      </c>
      <c r="AL12" s="57" t="str">
        <f t="shared" si="33"/>
        <v>nee</v>
      </c>
      <c r="AM12" s="50">
        <f t="shared" si="34"/>
        <v>0</v>
      </c>
      <c r="AN12" s="50" t="str">
        <f t="shared" si="35"/>
        <v/>
      </c>
      <c r="AO12" s="41">
        <f>IF(AE12*0.65&gt;tab!$D$14,tab!$D$14,AE12*0.65)</f>
        <v>0</v>
      </c>
      <c r="AP12" s="48">
        <f t="shared" si="36"/>
        <v>0</v>
      </c>
      <c r="AQ12" s="98">
        <f t="shared" si="37"/>
        <v>0</v>
      </c>
      <c r="AR12" s="39">
        <f>+AP12*AO12*(1+tab!$D$15)*(1+tab!$D$16)</f>
        <v>0</v>
      </c>
      <c r="AS12" s="39">
        <f t="shared" si="38"/>
        <v>0</v>
      </c>
      <c r="AT12" s="100">
        <f>IF(ROUND(IF(I12=0,0,((V$3-I12)/tab!$D$11)),0)&lt;1,0,ROUND(IF(I12=0,0,((V$3-I12)/tab!$D$11)),0))</f>
        <v>0</v>
      </c>
      <c r="AU12" s="41">
        <f t="shared" si="2"/>
        <v>0</v>
      </c>
      <c r="AV12" s="41">
        <f t="shared" si="3"/>
        <v>0</v>
      </c>
      <c r="AW12" s="41">
        <f t="shared" si="4"/>
        <v>0</v>
      </c>
      <c r="AX12" s="41">
        <f t="shared" si="5"/>
        <v>0</v>
      </c>
      <c r="AY12" s="41">
        <f t="shared" si="6"/>
        <v>0</v>
      </c>
      <c r="AZ12" s="39">
        <f t="shared" si="7"/>
        <v>0</v>
      </c>
      <c r="BA12" s="101">
        <f t="shared" si="39"/>
        <v>0</v>
      </c>
      <c r="BB12" s="102">
        <f>IF(J12="ja",tab!$K$3,tab!$K$4)</f>
        <v>0.5</v>
      </c>
      <c r="BC12" s="101">
        <f>IF(J12="ja",tab!$K$3*BA12,tab!$K$4*BA12)</f>
        <v>0</v>
      </c>
      <c r="BD12" s="53"/>
      <c r="BE12" s="103">
        <f t="shared" si="40"/>
        <v>0</v>
      </c>
      <c r="BF12" s="104">
        <f t="shared" si="8"/>
        <v>0</v>
      </c>
      <c r="BG12" s="104">
        <f t="shared" si="9"/>
        <v>0</v>
      </c>
      <c r="BH12" s="104">
        <f t="shared" si="41"/>
        <v>0</v>
      </c>
      <c r="BI12" s="77"/>
      <c r="BJ12" s="59"/>
      <c r="BK12" s="59"/>
      <c r="BL12" s="49">
        <f t="shared" si="10"/>
        <v>0</v>
      </c>
      <c r="BM12" s="49"/>
      <c r="BN12" s="49">
        <f t="shared" si="11"/>
        <v>0</v>
      </c>
      <c r="BO12" s="49">
        <f t="shared" si="12"/>
        <v>0</v>
      </c>
      <c r="BP12" s="49">
        <f t="shared" si="13"/>
        <v>0</v>
      </c>
      <c r="BQ12" s="49">
        <f t="shared" si="42"/>
        <v>0</v>
      </c>
      <c r="BR12" s="49">
        <f t="shared" si="14"/>
        <v>0</v>
      </c>
      <c r="BS12" s="84"/>
      <c r="BT12" s="49"/>
      <c r="BU12" s="49"/>
      <c r="BV12" s="49"/>
      <c r="BW12" s="49">
        <f t="shared" si="15"/>
        <v>0</v>
      </c>
      <c r="BX12" s="49">
        <f t="shared" si="16"/>
        <v>0</v>
      </c>
      <c r="BY12" s="105">
        <f t="shared" si="43"/>
        <v>0</v>
      </c>
      <c r="BZ12" s="49">
        <f t="shared" si="17"/>
        <v>0</v>
      </c>
      <c r="CA12" s="67"/>
      <c r="CB12" s="136">
        <f t="shared" si="44"/>
        <v>0</v>
      </c>
      <c r="CC12" s="137">
        <f t="shared" si="45"/>
        <v>0</v>
      </c>
      <c r="CD12" s="137">
        <f>BG12/((1+tab!$D$20)^2.5)</f>
        <v>0</v>
      </c>
      <c r="CE12" s="137">
        <f>BH12/((1+tab!$D$20)^6.5)</f>
        <v>0</v>
      </c>
      <c r="CF12" s="77"/>
      <c r="CG12" s="153"/>
      <c r="CH12" s="153"/>
      <c r="CI12" s="153"/>
    </row>
    <row r="13" spans="2:87" x14ac:dyDescent="0.2">
      <c r="B13" s="67"/>
      <c r="C13" s="47"/>
      <c r="D13" s="35"/>
      <c r="E13" s="36"/>
      <c r="F13" s="154" t="str">
        <f>IF(E13="","",E13+(tab!$D$17*365.25))</f>
        <v/>
      </c>
      <c r="G13" s="155">
        <f>ROUND(IF(E13="",0,(F13-I13)/tab!$D$11),0)</f>
        <v>0</v>
      </c>
      <c r="H13" s="37"/>
      <c r="I13" s="37"/>
      <c r="J13" s="38" t="s">
        <v>95</v>
      </c>
      <c r="K13" s="52"/>
      <c r="L13" s="94">
        <f>IF(K13/tab!$D$10/12&gt;tab!$D$12,tab!$D$12,K13/tab!$D$10/12)</f>
        <v>0</v>
      </c>
      <c r="M13" s="95">
        <f>ROUND(L13*tab!$D$10,0)</f>
        <v>0</v>
      </c>
      <c r="N13" s="95">
        <f t="shared" si="18"/>
        <v>0</v>
      </c>
      <c r="O13" s="95">
        <f t="shared" si="19"/>
        <v>0</v>
      </c>
      <c r="P13" s="96">
        <f t="shared" si="20"/>
        <v>0</v>
      </c>
      <c r="Q13" s="96">
        <f t="shared" si="21"/>
        <v>0</v>
      </c>
      <c r="R13" s="96">
        <f t="shared" si="22"/>
        <v>0</v>
      </c>
      <c r="S13" s="97">
        <f t="shared" si="23"/>
        <v>0</v>
      </c>
      <c r="T13" s="98">
        <f t="shared" si="24"/>
        <v>0</v>
      </c>
      <c r="U13" s="93">
        <f>(T13-I13)/tab!$D$11</f>
        <v>0</v>
      </c>
      <c r="V13" s="39">
        <f>((2*N13)+((S13-2)*O13))*(1+tab!$D$15)*(1+tab!$D$16)</f>
        <v>0</v>
      </c>
      <c r="W13" s="40">
        <f t="shared" si="25"/>
        <v>0</v>
      </c>
      <c r="X13" s="99">
        <f t="shared" si="26"/>
        <v>0</v>
      </c>
      <c r="Y13" s="39">
        <f>(IF(S13&lt;6,(S13-2)*(N13-O13),(W13*(N13-O13)))*(1+tab!$D$15)*(1+tab!$D$16))</f>
        <v>0</v>
      </c>
      <c r="Z13" s="127" t="s">
        <v>96</v>
      </c>
      <c r="AA13" s="58">
        <f t="shared" si="27"/>
        <v>0</v>
      </c>
      <c r="AB13" s="98">
        <f t="shared" si="28"/>
        <v>0</v>
      </c>
      <c r="AC13" s="39">
        <f>+(AA13*O13)*(1+tab!$D$15)*(1+tab!$D$16)</f>
        <v>0</v>
      </c>
      <c r="AD13" s="94">
        <f>IF(K13/tab!$D$10/12&gt;tab!$D$13,tab!$D$13,K13/tab!$D$10/12)</f>
        <v>0</v>
      </c>
      <c r="AE13" s="95">
        <f>ROUND(AD13*tab!$D$10,0)</f>
        <v>0</v>
      </c>
      <c r="AF13" s="95">
        <f t="shared" si="29"/>
        <v>0</v>
      </c>
      <c r="AG13" s="57" t="str">
        <f t="shared" si="30"/>
        <v>nee</v>
      </c>
      <c r="AH13" s="40">
        <v>34</v>
      </c>
      <c r="AI13" s="40">
        <f t="shared" si="31"/>
        <v>0</v>
      </c>
      <c r="AJ13" s="98">
        <f t="shared" si="32"/>
        <v>0</v>
      </c>
      <c r="AK13" s="39">
        <f>+(AI13*AF13)*(1+tab!$D$15)*(1+tab!$D$16)</f>
        <v>0</v>
      </c>
      <c r="AL13" s="57" t="str">
        <f t="shared" si="33"/>
        <v>nee</v>
      </c>
      <c r="AM13" s="50">
        <f t="shared" si="34"/>
        <v>0</v>
      </c>
      <c r="AN13" s="50" t="str">
        <f t="shared" si="35"/>
        <v/>
      </c>
      <c r="AO13" s="41">
        <f>IF(AE13*0.65&gt;tab!$D$14,tab!$D$14,AE13*0.65)</f>
        <v>0</v>
      </c>
      <c r="AP13" s="48">
        <f t="shared" si="36"/>
        <v>0</v>
      </c>
      <c r="AQ13" s="98">
        <f t="shared" si="37"/>
        <v>0</v>
      </c>
      <c r="AR13" s="39">
        <f>+AP13*AO13*(1+tab!$D$15)*(1+tab!$D$16)</f>
        <v>0</v>
      </c>
      <c r="AS13" s="39">
        <f t="shared" si="38"/>
        <v>0</v>
      </c>
      <c r="AT13" s="100">
        <f>IF(ROUND(IF(I13=0,0,((V$3-I13)/tab!$D$11)),0)&lt;1,0,ROUND(IF(I13=0,0,((V$3-I13)/tab!$D$11)),0))</f>
        <v>0</v>
      </c>
      <c r="AU13" s="41">
        <f t="shared" si="2"/>
        <v>0</v>
      </c>
      <c r="AV13" s="41">
        <f t="shared" si="3"/>
        <v>0</v>
      </c>
      <c r="AW13" s="41">
        <f t="shared" si="4"/>
        <v>0</v>
      </c>
      <c r="AX13" s="41">
        <f t="shared" si="5"/>
        <v>0</v>
      </c>
      <c r="AY13" s="41">
        <f t="shared" si="6"/>
        <v>0</v>
      </c>
      <c r="AZ13" s="39">
        <f t="shared" si="7"/>
        <v>0</v>
      </c>
      <c r="BA13" s="101">
        <f t="shared" si="39"/>
        <v>0</v>
      </c>
      <c r="BB13" s="102">
        <f>IF(J13="ja",tab!$K$3,tab!$K$4)</f>
        <v>0.5</v>
      </c>
      <c r="BC13" s="101">
        <f>IF(J13="ja",tab!$K$3*BA13,tab!$K$4*BA13)</f>
        <v>0</v>
      </c>
      <c r="BD13" s="53"/>
      <c r="BE13" s="103">
        <f t="shared" si="40"/>
        <v>0</v>
      </c>
      <c r="BF13" s="104">
        <f t="shared" si="8"/>
        <v>0</v>
      </c>
      <c r="BG13" s="104">
        <f t="shared" si="9"/>
        <v>0</v>
      </c>
      <c r="BH13" s="104">
        <f t="shared" si="41"/>
        <v>0</v>
      </c>
      <c r="BI13" s="77"/>
      <c r="BJ13" s="59"/>
      <c r="BK13" s="59"/>
      <c r="BL13" s="49">
        <f t="shared" si="10"/>
        <v>0</v>
      </c>
      <c r="BM13" s="49"/>
      <c r="BN13" s="49">
        <f t="shared" si="11"/>
        <v>0</v>
      </c>
      <c r="BO13" s="49">
        <f t="shared" si="12"/>
        <v>0</v>
      </c>
      <c r="BP13" s="49">
        <f t="shared" si="13"/>
        <v>0</v>
      </c>
      <c r="BQ13" s="49">
        <f t="shared" si="42"/>
        <v>0</v>
      </c>
      <c r="BR13" s="49">
        <f t="shared" si="14"/>
        <v>0</v>
      </c>
      <c r="BS13" s="84"/>
      <c r="BT13" s="49"/>
      <c r="BU13" s="49"/>
      <c r="BV13" s="49"/>
      <c r="BW13" s="49">
        <f t="shared" si="15"/>
        <v>0</v>
      </c>
      <c r="BX13" s="49">
        <f t="shared" si="16"/>
        <v>0</v>
      </c>
      <c r="BY13" s="105">
        <f t="shared" si="43"/>
        <v>0</v>
      </c>
      <c r="BZ13" s="49">
        <f t="shared" si="17"/>
        <v>0</v>
      </c>
      <c r="CA13" s="67"/>
      <c r="CB13" s="136">
        <f t="shared" si="44"/>
        <v>0</v>
      </c>
      <c r="CC13" s="137">
        <f t="shared" si="45"/>
        <v>0</v>
      </c>
      <c r="CD13" s="137">
        <f>BG13/((1+tab!$D$20)^2.5)</f>
        <v>0</v>
      </c>
      <c r="CE13" s="137">
        <f>BH13/((1+tab!$D$20)^6.5)</f>
        <v>0</v>
      </c>
      <c r="CF13" s="77"/>
      <c r="CG13" s="153"/>
      <c r="CH13" s="153"/>
      <c r="CI13" s="153"/>
    </row>
    <row r="14" spans="2:87" x14ac:dyDescent="0.2">
      <c r="B14" s="67"/>
      <c r="C14" s="47"/>
      <c r="D14" s="35"/>
      <c r="E14" s="36"/>
      <c r="F14" s="154" t="str">
        <f>IF(E14="","",E14+(tab!$D$17*365.25))</f>
        <v/>
      </c>
      <c r="G14" s="155">
        <f>ROUND(IF(E14="",0,(F14-I14)/tab!$D$11),0)</f>
        <v>0</v>
      </c>
      <c r="H14" s="37"/>
      <c r="I14" s="37"/>
      <c r="J14" s="38"/>
      <c r="K14" s="52"/>
      <c r="L14" s="94">
        <f>IF(K14/tab!$D$10/12&gt;tab!$D$12,tab!$D$12,K14/tab!$D$10/12)</f>
        <v>0</v>
      </c>
      <c r="M14" s="95">
        <f>ROUND(L14*tab!$D$10,0)</f>
        <v>0</v>
      </c>
      <c r="N14" s="95">
        <f t="shared" si="18"/>
        <v>0</v>
      </c>
      <c r="O14" s="95">
        <f t="shared" si="19"/>
        <v>0</v>
      </c>
      <c r="P14" s="96">
        <f t="shared" si="20"/>
        <v>0</v>
      </c>
      <c r="Q14" s="96">
        <f t="shared" si="21"/>
        <v>0</v>
      </c>
      <c r="R14" s="96">
        <f t="shared" si="22"/>
        <v>0</v>
      </c>
      <c r="S14" s="97">
        <f t="shared" si="23"/>
        <v>0</v>
      </c>
      <c r="T14" s="98">
        <f t="shared" si="24"/>
        <v>0</v>
      </c>
      <c r="U14" s="93">
        <f>(T14-I14)/tab!$D$11</f>
        <v>0</v>
      </c>
      <c r="V14" s="39">
        <f>((2*N14)+((S14-2)*O14))*(1+tab!$D$15)*(1+tab!$D$16)</f>
        <v>0</v>
      </c>
      <c r="W14" s="40">
        <f t="shared" si="25"/>
        <v>0</v>
      </c>
      <c r="X14" s="99">
        <f t="shared" si="26"/>
        <v>0</v>
      </c>
      <c r="Y14" s="39">
        <f>(IF(S14&lt;6,(S14-2)*(N14-O14),(W14*(N14-O14)))*(1+tab!$D$15)*(1+tab!$D$16))</f>
        <v>0</v>
      </c>
      <c r="Z14" s="127" t="s">
        <v>96</v>
      </c>
      <c r="AA14" s="58">
        <f t="shared" si="27"/>
        <v>0</v>
      </c>
      <c r="AB14" s="98">
        <f t="shared" si="28"/>
        <v>0</v>
      </c>
      <c r="AC14" s="39">
        <f>+(AA14*O14)*(1+tab!$D$15)*(1+tab!$D$16)</f>
        <v>0</v>
      </c>
      <c r="AD14" s="94">
        <f>IF(K14/tab!$D$10/12&gt;tab!$D$13,tab!$D$13,K14/tab!$D$10/12)</f>
        <v>0</v>
      </c>
      <c r="AE14" s="95">
        <f>ROUND(AD14*tab!$D$10,0)</f>
        <v>0</v>
      </c>
      <c r="AF14" s="95">
        <f t="shared" si="29"/>
        <v>0</v>
      </c>
      <c r="AG14" s="57" t="str">
        <f t="shared" si="30"/>
        <v>nee</v>
      </c>
      <c r="AH14" s="40">
        <v>34</v>
      </c>
      <c r="AI14" s="40">
        <f t="shared" si="31"/>
        <v>0</v>
      </c>
      <c r="AJ14" s="98">
        <f t="shared" si="32"/>
        <v>0</v>
      </c>
      <c r="AK14" s="39">
        <f>+(AI14*AF14)*(1+tab!$D$15)*(1+tab!$D$16)</f>
        <v>0</v>
      </c>
      <c r="AL14" s="57" t="str">
        <f t="shared" si="33"/>
        <v>nee</v>
      </c>
      <c r="AM14" s="50">
        <f t="shared" si="34"/>
        <v>0</v>
      </c>
      <c r="AN14" s="50" t="str">
        <f t="shared" si="35"/>
        <v/>
      </c>
      <c r="AO14" s="41">
        <f>IF(AE14*0.65&gt;tab!$D$14,tab!$D$14,AE14*0.65)</f>
        <v>0</v>
      </c>
      <c r="AP14" s="48">
        <f t="shared" si="36"/>
        <v>0</v>
      </c>
      <c r="AQ14" s="98">
        <f t="shared" si="37"/>
        <v>0</v>
      </c>
      <c r="AR14" s="39">
        <f>+AP14*AO14*(1+tab!$D$15)*(1+tab!$D$16)</f>
        <v>0</v>
      </c>
      <c r="AS14" s="39">
        <f t="shared" si="38"/>
        <v>0</v>
      </c>
      <c r="AT14" s="100">
        <f>IF(ROUND(IF(I14=0,0,((V$3-I14)/tab!$D$11)),0)&lt;1,0,ROUND(IF(I14=0,0,((V$3-I14)/tab!$D$11)),0))</f>
        <v>0</v>
      </c>
      <c r="AU14" s="41">
        <f t="shared" si="2"/>
        <v>0</v>
      </c>
      <c r="AV14" s="41">
        <f t="shared" si="3"/>
        <v>0</v>
      </c>
      <c r="AW14" s="41">
        <f t="shared" si="4"/>
        <v>0</v>
      </c>
      <c r="AX14" s="41">
        <f t="shared" si="5"/>
        <v>0</v>
      </c>
      <c r="AY14" s="41">
        <f t="shared" si="6"/>
        <v>0</v>
      </c>
      <c r="AZ14" s="39">
        <f t="shared" si="7"/>
        <v>0</v>
      </c>
      <c r="BA14" s="101">
        <f t="shared" si="39"/>
        <v>0</v>
      </c>
      <c r="BB14" s="102">
        <f>IF(J14="ja",tab!$K$3,tab!$K$4)</f>
        <v>0.5</v>
      </c>
      <c r="BC14" s="101">
        <f>IF(J14="ja",tab!$K$3*BA14,tab!$K$4*BA14)</f>
        <v>0</v>
      </c>
      <c r="BD14" s="53"/>
      <c r="BE14" s="103">
        <f t="shared" si="40"/>
        <v>0</v>
      </c>
      <c r="BF14" s="104">
        <f t="shared" si="8"/>
        <v>0</v>
      </c>
      <c r="BG14" s="104">
        <f t="shared" si="9"/>
        <v>0</v>
      </c>
      <c r="BH14" s="104">
        <f t="shared" si="41"/>
        <v>0</v>
      </c>
      <c r="BI14" s="77"/>
      <c r="BJ14" s="59"/>
      <c r="BK14" s="59"/>
      <c r="BL14" s="49">
        <f t="shared" si="10"/>
        <v>0</v>
      </c>
      <c r="BM14" s="49"/>
      <c r="BN14" s="49">
        <f t="shared" si="11"/>
        <v>0</v>
      </c>
      <c r="BO14" s="49">
        <f t="shared" si="12"/>
        <v>0</v>
      </c>
      <c r="BP14" s="49">
        <f t="shared" si="13"/>
        <v>0</v>
      </c>
      <c r="BQ14" s="49">
        <f t="shared" si="42"/>
        <v>0</v>
      </c>
      <c r="BR14" s="49">
        <f t="shared" si="14"/>
        <v>0</v>
      </c>
      <c r="BS14" s="84"/>
      <c r="BT14" s="49"/>
      <c r="BU14" s="49"/>
      <c r="BV14" s="49"/>
      <c r="BW14" s="49">
        <f t="shared" si="15"/>
        <v>0</v>
      </c>
      <c r="BX14" s="49">
        <f t="shared" si="16"/>
        <v>0</v>
      </c>
      <c r="BY14" s="105">
        <f t="shared" si="43"/>
        <v>0</v>
      </c>
      <c r="BZ14" s="49">
        <f t="shared" si="17"/>
        <v>0</v>
      </c>
      <c r="CA14" s="67"/>
      <c r="CB14" s="136">
        <f t="shared" si="44"/>
        <v>0</v>
      </c>
      <c r="CC14" s="137">
        <f t="shared" si="45"/>
        <v>0</v>
      </c>
      <c r="CD14" s="137">
        <f>BG14/((1+tab!$D$20)^2.5)</f>
        <v>0</v>
      </c>
      <c r="CE14" s="137">
        <f>BH14/((1+tab!$D$20)^6.5)</f>
        <v>0</v>
      </c>
      <c r="CF14" s="77"/>
    </row>
    <row r="15" spans="2:87" x14ac:dyDescent="0.2">
      <c r="B15" s="67"/>
      <c r="C15" s="47"/>
      <c r="D15" s="35"/>
      <c r="E15" s="36"/>
      <c r="F15" s="154" t="str">
        <f>IF(E15="","",E15+(tab!$D$17*365.25))</f>
        <v/>
      </c>
      <c r="G15" s="155">
        <f>ROUND(IF(E15="",0,(F15-I15)/tab!$D$11),0)</f>
        <v>0</v>
      </c>
      <c r="H15" s="37"/>
      <c r="I15" s="37"/>
      <c r="J15" s="38"/>
      <c r="K15" s="52"/>
      <c r="L15" s="94">
        <f>IF(K15/tab!$D$10/12&gt;tab!$D$12,tab!$D$12,K15/tab!$D$10/12)</f>
        <v>0</v>
      </c>
      <c r="M15" s="95">
        <f>ROUND(L15*tab!$D$10,0)</f>
        <v>0</v>
      </c>
      <c r="N15" s="95">
        <f t="shared" si="18"/>
        <v>0</v>
      </c>
      <c r="O15" s="95">
        <f t="shared" si="19"/>
        <v>0</v>
      </c>
      <c r="P15" s="96">
        <f t="shared" si="20"/>
        <v>0</v>
      </c>
      <c r="Q15" s="96">
        <f t="shared" si="21"/>
        <v>0</v>
      </c>
      <c r="R15" s="96">
        <f t="shared" si="22"/>
        <v>0</v>
      </c>
      <c r="S15" s="97">
        <f t="shared" si="23"/>
        <v>0</v>
      </c>
      <c r="T15" s="98">
        <f t="shared" si="24"/>
        <v>0</v>
      </c>
      <c r="U15" s="93">
        <f>(T15-I15)/tab!$D$11</f>
        <v>0</v>
      </c>
      <c r="V15" s="39">
        <f>((2*N15)+((S15-2)*O15))*(1+tab!$D$15)*(1+tab!$D$16)</f>
        <v>0</v>
      </c>
      <c r="W15" s="40">
        <f t="shared" si="25"/>
        <v>0</v>
      </c>
      <c r="X15" s="99">
        <f t="shared" si="26"/>
        <v>0</v>
      </c>
      <c r="Y15" s="39">
        <f>(IF(S15&lt;6,(S15-2)*(N15-O15),(W15*(N15-O15)))*(1+tab!$D$15)*(1+tab!$D$16))</f>
        <v>0</v>
      </c>
      <c r="Z15" s="127" t="s">
        <v>96</v>
      </c>
      <c r="AA15" s="58">
        <f t="shared" si="27"/>
        <v>0</v>
      </c>
      <c r="AB15" s="98">
        <f t="shared" si="28"/>
        <v>0</v>
      </c>
      <c r="AC15" s="39">
        <f>+(AA15*O15)*(1+tab!$D$15)*(1+tab!$D$16)</f>
        <v>0</v>
      </c>
      <c r="AD15" s="94">
        <f>IF(K15/tab!$D$10/12&gt;tab!$D$13,tab!$D$13,K15/tab!$D$10/12)</f>
        <v>0</v>
      </c>
      <c r="AE15" s="95">
        <f>ROUND(AD15*tab!$D$10,0)</f>
        <v>0</v>
      </c>
      <c r="AF15" s="95">
        <f t="shared" si="29"/>
        <v>0</v>
      </c>
      <c r="AG15" s="57" t="str">
        <f t="shared" si="30"/>
        <v>nee</v>
      </c>
      <c r="AH15" s="40">
        <v>34</v>
      </c>
      <c r="AI15" s="40">
        <f t="shared" si="31"/>
        <v>0</v>
      </c>
      <c r="AJ15" s="98">
        <f t="shared" si="32"/>
        <v>0</v>
      </c>
      <c r="AK15" s="39">
        <f>+(AI15*AF15)*(1+tab!$D$15)*(1+tab!$D$16)</f>
        <v>0</v>
      </c>
      <c r="AL15" s="57" t="str">
        <f t="shared" si="33"/>
        <v>nee</v>
      </c>
      <c r="AM15" s="50">
        <f t="shared" si="34"/>
        <v>0</v>
      </c>
      <c r="AN15" s="50" t="str">
        <f t="shared" si="35"/>
        <v/>
      </c>
      <c r="AO15" s="41">
        <f>IF(AE15*0.65&gt;tab!$D$14,tab!$D$14,AE15*0.65)</f>
        <v>0</v>
      </c>
      <c r="AP15" s="48">
        <f t="shared" si="36"/>
        <v>0</v>
      </c>
      <c r="AQ15" s="98">
        <f t="shared" si="37"/>
        <v>0</v>
      </c>
      <c r="AR15" s="39">
        <f>+AP15*AO15*(1+tab!$D$15)*(1+tab!$D$16)</f>
        <v>0</v>
      </c>
      <c r="AS15" s="39">
        <f t="shared" si="38"/>
        <v>0</v>
      </c>
      <c r="AT15" s="100">
        <f>IF(ROUND(IF(I15=0,0,((V$3-I15)/tab!$D$11)),0)&lt;1,0,ROUND(IF(I15=0,0,((V$3-I15)/tab!$D$11)),0))</f>
        <v>0</v>
      </c>
      <c r="AU15" s="41">
        <f t="shared" si="2"/>
        <v>0</v>
      </c>
      <c r="AV15" s="41">
        <f t="shared" si="3"/>
        <v>0</v>
      </c>
      <c r="AW15" s="41">
        <f t="shared" si="4"/>
        <v>0</v>
      </c>
      <c r="AX15" s="41">
        <f t="shared" si="5"/>
        <v>0</v>
      </c>
      <c r="AY15" s="41">
        <f t="shared" si="6"/>
        <v>0</v>
      </c>
      <c r="AZ15" s="39">
        <f t="shared" si="7"/>
        <v>0</v>
      </c>
      <c r="BA15" s="101">
        <f t="shared" si="39"/>
        <v>0</v>
      </c>
      <c r="BB15" s="102">
        <f>IF(J15="ja",tab!$K$3,tab!$K$4)</f>
        <v>0.5</v>
      </c>
      <c r="BC15" s="101">
        <f>IF(J15="ja",tab!$K$3*BA15,tab!$K$4*BA15)</f>
        <v>0</v>
      </c>
      <c r="BD15" s="53"/>
      <c r="BE15" s="103">
        <f t="shared" si="40"/>
        <v>0</v>
      </c>
      <c r="BF15" s="104">
        <f t="shared" si="8"/>
        <v>0</v>
      </c>
      <c r="BG15" s="104">
        <f t="shared" si="9"/>
        <v>0</v>
      </c>
      <c r="BH15" s="104">
        <f t="shared" si="41"/>
        <v>0</v>
      </c>
      <c r="BI15" s="77"/>
      <c r="BJ15" s="59"/>
      <c r="BK15" s="59"/>
      <c r="BL15" s="49">
        <f t="shared" si="10"/>
        <v>0</v>
      </c>
      <c r="BM15" s="49"/>
      <c r="BN15" s="49">
        <f t="shared" si="11"/>
        <v>0</v>
      </c>
      <c r="BO15" s="49">
        <f t="shared" si="12"/>
        <v>0</v>
      </c>
      <c r="BP15" s="49">
        <f t="shared" si="13"/>
        <v>0</v>
      </c>
      <c r="BQ15" s="49">
        <f t="shared" si="42"/>
        <v>0</v>
      </c>
      <c r="BR15" s="49">
        <f t="shared" si="14"/>
        <v>0</v>
      </c>
      <c r="BS15" s="84"/>
      <c r="BT15" s="49"/>
      <c r="BU15" s="49"/>
      <c r="BV15" s="49"/>
      <c r="BW15" s="49">
        <f t="shared" si="15"/>
        <v>0</v>
      </c>
      <c r="BX15" s="49">
        <f t="shared" si="16"/>
        <v>0</v>
      </c>
      <c r="BY15" s="105">
        <f t="shared" si="43"/>
        <v>0</v>
      </c>
      <c r="BZ15" s="49">
        <f t="shared" si="17"/>
        <v>0</v>
      </c>
      <c r="CA15" s="67"/>
      <c r="CB15" s="136">
        <f t="shared" si="44"/>
        <v>0</v>
      </c>
      <c r="CC15" s="137">
        <f t="shared" si="45"/>
        <v>0</v>
      </c>
      <c r="CD15" s="137">
        <f>BG15/((1+tab!$D$20)^2.5)</f>
        <v>0</v>
      </c>
      <c r="CE15" s="137">
        <f>BH15/((1+tab!$D$20)^6.5)</f>
        <v>0</v>
      </c>
      <c r="CF15" s="77"/>
    </row>
    <row r="16" spans="2:87" x14ac:dyDescent="0.2">
      <c r="B16" s="67"/>
      <c r="C16" s="47"/>
      <c r="D16" s="35"/>
      <c r="E16" s="36"/>
      <c r="F16" s="154" t="str">
        <f>IF(E16="","",E16+(tab!$D$17*365.25))</f>
        <v/>
      </c>
      <c r="G16" s="155">
        <f>ROUND(IF(E16="",0,(F16-I16)/tab!$D$11),0)</f>
        <v>0</v>
      </c>
      <c r="H16" s="37"/>
      <c r="I16" s="37"/>
      <c r="J16" s="38"/>
      <c r="K16" s="52"/>
      <c r="L16" s="94">
        <f>IF(K16/tab!$D$10/12&gt;tab!$D$12,tab!$D$12,K16/tab!$D$10/12)</f>
        <v>0</v>
      </c>
      <c r="M16" s="95">
        <f>ROUND(L16*tab!$D$10,0)</f>
        <v>0</v>
      </c>
      <c r="N16" s="95">
        <f t="shared" si="18"/>
        <v>0</v>
      </c>
      <c r="O16" s="95">
        <f t="shared" si="19"/>
        <v>0</v>
      </c>
      <c r="P16" s="96">
        <f t="shared" si="20"/>
        <v>0</v>
      </c>
      <c r="Q16" s="96">
        <f t="shared" si="21"/>
        <v>0</v>
      </c>
      <c r="R16" s="96">
        <f t="shared" si="22"/>
        <v>0</v>
      </c>
      <c r="S16" s="97">
        <f t="shared" si="23"/>
        <v>0</v>
      </c>
      <c r="T16" s="98">
        <f t="shared" si="24"/>
        <v>0</v>
      </c>
      <c r="U16" s="93">
        <f>(T16-I16)/tab!$D$11</f>
        <v>0</v>
      </c>
      <c r="V16" s="39">
        <f>((2*N16)+((S16-2)*O16))*(1+tab!$D$15)*(1+tab!$D$16)</f>
        <v>0</v>
      </c>
      <c r="W16" s="40">
        <f t="shared" si="25"/>
        <v>0</v>
      </c>
      <c r="X16" s="99">
        <f t="shared" si="26"/>
        <v>0</v>
      </c>
      <c r="Y16" s="39">
        <f>(IF(S16&lt;6,(S16-2)*(N16-O16),(W16*(N16-O16)))*(1+tab!$D$15)*(1+tab!$D$16))</f>
        <v>0</v>
      </c>
      <c r="Z16" s="127" t="s">
        <v>96</v>
      </c>
      <c r="AA16" s="58">
        <f t="shared" si="27"/>
        <v>0</v>
      </c>
      <c r="AB16" s="98">
        <f t="shared" si="28"/>
        <v>0</v>
      </c>
      <c r="AC16" s="39">
        <f>+(AA16*O16)*(1+tab!$D$15)*(1+tab!$D$16)</f>
        <v>0</v>
      </c>
      <c r="AD16" s="94">
        <f>IF(K16/tab!$D$10/12&gt;tab!$D$13,tab!$D$13,K16/tab!$D$10/12)</f>
        <v>0</v>
      </c>
      <c r="AE16" s="95">
        <f>ROUND(AD16*tab!$D$10,0)</f>
        <v>0</v>
      </c>
      <c r="AF16" s="95">
        <f t="shared" si="29"/>
        <v>0</v>
      </c>
      <c r="AG16" s="57" t="str">
        <f t="shared" si="30"/>
        <v>nee</v>
      </c>
      <c r="AH16" s="40">
        <v>34</v>
      </c>
      <c r="AI16" s="40">
        <f t="shared" si="31"/>
        <v>0</v>
      </c>
      <c r="AJ16" s="98">
        <f t="shared" si="32"/>
        <v>0</v>
      </c>
      <c r="AK16" s="39">
        <f>+(AI16*AF16)*(1+tab!$D$15)*(1+tab!$D$16)</f>
        <v>0</v>
      </c>
      <c r="AL16" s="57" t="str">
        <f t="shared" si="33"/>
        <v>nee</v>
      </c>
      <c r="AM16" s="50">
        <f t="shared" si="34"/>
        <v>0</v>
      </c>
      <c r="AN16" s="50" t="str">
        <f t="shared" si="35"/>
        <v/>
      </c>
      <c r="AO16" s="41">
        <f>IF(AE16*0.65&gt;tab!$D$14,tab!$D$14,AE16*0.65)</f>
        <v>0</v>
      </c>
      <c r="AP16" s="48">
        <f t="shared" si="36"/>
        <v>0</v>
      </c>
      <c r="AQ16" s="98">
        <f t="shared" si="37"/>
        <v>0</v>
      </c>
      <c r="AR16" s="39">
        <f>+AP16*AO16*(1+tab!$D$15)*(1+tab!$D$16)</f>
        <v>0</v>
      </c>
      <c r="AS16" s="39">
        <f t="shared" si="38"/>
        <v>0</v>
      </c>
      <c r="AT16" s="100">
        <f>IF(ROUND(IF(I16=0,0,((V$3-I16)/tab!$D$11)),0)&lt;1,0,ROUND(IF(I16=0,0,((V$3-I16)/tab!$D$11)),0))</f>
        <v>0</v>
      </c>
      <c r="AU16" s="41">
        <f t="shared" si="2"/>
        <v>0</v>
      </c>
      <c r="AV16" s="41">
        <f t="shared" si="3"/>
        <v>0</v>
      </c>
      <c r="AW16" s="41">
        <f t="shared" si="4"/>
        <v>0</v>
      </c>
      <c r="AX16" s="41">
        <f t="shared" si="5"/>
        <v>0</v>
      </c>
      <c r="AY16" s="41">
        <f t="shared" si="6"/>
        <v>0</v>
      </c>
      <c r="AZ16" s="39">
        <f t="shared" si="7"/>
        <v>0</v>
      </c>
      <c r="BA16" s="101">
        <f t="shared" si="39"/>
        <v>0</v>
      </c>
      <c r="BB16" s="102">
        <f>IF(J16="ja",tab!$K$3,tab!$K$4)</f>
        <v>0.5</v>
      </c>
      <c r="BC16" s="101">
        <f>IF(J16="ja",tab!$K$3*BA16,tab!$K$4*BA16)</f>
        <v>0</v>
      </c>
      <c r="BD16" s="53"/>
      <c r="BE16" s="103">
        <f t="shared" si="40"/>
        <v>0</v>
      </c>
      <c r="BF16" s="104">
        <f t="shared" si="8"/>
        <v>0</v>
      </c>
      <c r="BG16" s="104">
        <f t="shared" si="9"/>
        <v>0</v>
      </c>
      <c r="BH16" s="104">
        <f t="shared" si="41"/>
        <v>0</v>
      </c>
      <c r="BI16" s="77"/>
      <c r="BJ16" s="59"/>
      <c r="BK16" s="59"/>
      <c r="BL16" s="49">
        <f t="shared" si="10"/>
        <v>0</v>
      </c>
      <c r="BM16" s="49"/>
      <c r="BN16" s="49">
        <f t="shared" si="11"/>
        <v>0</v>
      </c>
      <c r="BO16" s="49">
        <f t="shared" si="12"/>
        <v>0</v>
      </c>
      <c r="BP16" s="49">
        <f t="shared" si="13"/>
        <v>0</v>
      </c>
      <c r="BQ16" s="49">
        <f t="shared" si="42"/>
        <v>0</v>
      </c>
      <c r="BR16" s="49">
        <f t="shared" si="14"/>
        <v>0</v>
      </c>
      <c r="BS16" s="84"/>
      <c r="BT16" s="49"/>
      <c r="BU16" s="49"/>
      <c r="BV16" s="49"/>
      <c r="BW16" s="49">
        <f t="shared" si="15"/>
        <v>0</v>
      </c>
      <c r="BX16" s="49">
        <f t="shared" si="16"/>
        <v>0</v>
      </c>
      <c r="BY16" s="105">
        <f t="shared" si="43"/>
        <v>0</v>
      </c>
      <c r="BZ16" s="49">
        <f t="shared" si="17"/>
        <v>0</v>
      </c>
      <c r="CA16" s="67"/>
      <c r="CB16" s="136">
        <f t="shared" si="44"/>
        <v>0</v>
      </c>
      <c r="CC16" s="137">
        <f t="shared" si="45"/>
        <v>0</v>
      </c>
      <c r="CD16" s="137">
        <f>BG16/((1+tab!$D$20)^2.5)</f>
        <v>0</v>
      </c>
      <c r="CE16" s="137">
        <f>BH16/((1+tab!$D$20)^6.5)</f>
        <v>0</v>
      </c>
      <c r="CF16" s="77"/>
    </row>
    <row r="17" spans="2:84" x14ac:dyDescent="0.2">
      <c r="B17" s="67"/>
      <c r="C17" s="47"/>
      <c r="D17" s="35"/>
      <c r="E17" s="36"/>
      <c r="F17" s="154" t="str">
        <f>IF(E17="","",E17+(tab!$D$17*365.25))</f>
        <v/>
      </c>
      <c r="G17" s="155">
        <f>ROUND(IF(E17="",0,(F17-I17)/tab!$D$11),0)</f>
        <v>0</v>
      </c>
      <c r="H17" s="37"/>
      <c r="I17" s="37"/>
      <c r="J17" s="38"/>
      <c r="K17" s="52"/>
      <c r="L17" s="94">
        <f>IF(K17/tab!$D$10/12&gt;tab!$D$12,tab!$D$12,K17/tab!$D$10/12)</f>
        <v>0</v>
      </c>
      <c r="M17" s="95">
        <f>ROUND(L17*tab!$D$10,0)</f>
        <v>0</v>
      </c>
      <c r="N17" s="95">
        <f t="shared" si="18"/>
        <v>0</v>
      </c>
      <c r="O17" s="95">
        <f t="shared" si="19"/>
        <v>0</v>
      </c>
      <c r="P17" s="96">
        <f t="shared" si="20"/>
        <v>0</v>
      </c>
      <c r="Q17" s="96">
        <f t="shared" si="21"/>
        <v>0</v>
      </c>
      <c r="R17" s="96">
        <f t="shared" si="22"/>
        <v>0</v>
      </c>
      <c r="S17" s="97">
        <f t="shared" si="23"/>
        <v>0</v>
      </c>
      <c r="T17" s="98">
        <f t="shared" si="24"/>
        <v>0</v>
      </c>
      <c r="U17" s="93">
        <f>(T17-I17)/tab!$D$11</f>
        <v>0</v>
      </c>
      <c r="V17" s="39">
        <f>((2*N17)+((S17-2)*O17))*(1+tab!$D$15)*(1+tab!$D$16)</f>
        <v>0</v>
      </c>
      <c r="W17" s="40">
        <f t="shared" si="25"/>
        <v>0</v>
      </c>
      <c r="X17" s="99">
        <f t="shared" si="26"/>
        <v>0</v>
      </c>
      <c r="Y17" s="39">
        <f>(IF(S17&lt;6,(S17-2)*(N17-O17),(W17*(N17-O17)))*(1+tab!$D$15)*(1+tab!$D$16))</f>
        <v>0</v>
      </c>
      <c r="Z17" s="127" t="s">
        <v>96</v>
      </c>
      <c r="AA17" s="58">
        <f t="shared" si="27"/>
        <v>0</v>
      </c>
      <c r="AB17" s="98">
        <f t="shared" si="28"/>
        <v>0</v>
      </c>
      <c r="AC17" s="39">
        <f>+(AA17*O17)*(1+tab!$D$15)*(1+tab!$D$16)</f>
        <v>0</v>
      </c>
      <c r="AD17" s="94">
        <f>IF(K17/tab!$D$10/12&gt;tab!$D$13,tab!$D$13,K17/tab!$D$10/12)</f>
        <v>0</v>
      </c>
      <c r="AE17" s="95">
        <f>ROUND(AD17*tab!$D$10,0)</f>
        <v>0</v>
      </c>
      <c r="AF17" s="95">
        <f t="shared" si="29"/>
        <v>0</v>
      </c>
      <c r="AG17" s="57" t="str">
        <f t="shared" si="30"/>
        <v>nee</v>
      </c>
      <c r="AH17" s="40">
        <v>34</v>
      </c>
      <c r="AI17" s="40">
        <f t="shared" si="31"/>
        <v>0</v>
      </c>
      <c r="AJ17" s="98">
        <f t="shared" si="32"/>
        <v>0</v>
      </c>
      <c r="AK17" s="39">
        <f>+(AI17*AF17)*(1+tab!$D$15)*(1+tab!$D$16)</f>
        <v>0</v>
      </c>
      <c r="AL17" s="57" t="str">
        <f t="shared" si="33"/>
        <v>nee</v>
      </c>
      <c r="AM17" s="50">
        <f t="shared" si="34"/>
        <v>0</v>
      </c>
      <c r="AN17" s="50" t="str">
        <f t="shared" si="35"/>
        <v/>
      </c>
      <c r="AO17" s="41">
        <f>IF(AE17*0.65&gt;tab!$D$14,tab!$D$14,AE17*0.65)</f>
        <v>0</v>
      </c>
      <c r="AP17" s="48">
        <f t="shared" si="36"/>
        <v>0</v>
      </c>
      <c r="AQ17" s="98">
        <f t="shared" si="37"/>
        <v>0</v>
      </c>
      <c r="AR17" s="39">
        <f>+AP17*AO17*(1+tab!$D$15)*(1+tab!$D$16)</f>
        <v>0</v>
      </c>
      <c r="AS17" s="39">
        <f t="shared" si="38"/>
        <v>0</v>
      </c>
      <c r="AT17" s="100">
        <f>IF(ROUND(IF(I17=0,0,((V$3-I17)/tab!$D$11)),0)&lt;1,0,ROUND(IF(I17=0,0,((V$3-I17)/tab!$D$11)),0))</f>
        <v>0</v>
      </c>
      <c r="AU17" s="41">
        <f t="shared" si="2"/>
        <v>0</v>
      </c>
      <c r="AV17" s="41">
        <f t="shared" si="3"/>
        <v>0</v>
      </c>
      <c r="AW17" s="41">
        <f t="shared" si="4"/>
        <v>0</v>
      </c>
      <c r="AX17" s="41">
        <f t="shared" si="5"/>
        <v>0</v>
      </c>
      <c r="AY17" s="41">
        <f t="shared" si="6"/>
        <v>0</v>
      </c>
      <c r="AZ17" s="39">
        <f t="shared" si="7"/>
        <v>0</v>
      </c>
      <c r="BA17" s="101">
        <f t="shared" si="39"/>
        <v>0</v>
      </c>
      <c r="BB17" s="102">
        <f>IF(J17="ja",tab!$K$3,tab!$K$4)</f>
        <v>0.5</v>
      </c>
      <c r="BC17" s="101">
        <f>IF(J17="ja",tab!$K$3*BA17,tab!$K$4*BA17)</f>
        <v>0</v>
      </c>
      <c r="BD17" s="53"/>
      <c r="BE17" s="103">
        <f t="shared" si="40"/>
        <v>0</v>
      </c>
      <c r="BF17" s="104">
        <f t="shared" si="8"/>
        <v>0</v>
      </c>
      <c r="BG17" s="104">
        <f t="shared" si="9"/>
        <v>0</v>
      </c>
      <c r="BH17" s="104">
        <f t="shared" si="41"/>
        <v>0</v>
      </c>
      <c r="BI17" s="77"/>
      <c r="BJ17" s="59"/>
      <c r="BK17" s="59"/>
      <c r="BL17" s="49">
        <f t="shared" si="10"/>
        <v>0</v>
      </c>
      <c r="BM17" s="49"/>
      <c r="BN17" s="49">
        <f t="shared" si="11"/>
        <v>0</v>
      </c>
      <c r="BO17" s="49">
        <f t="shared" si="12"/>
        <v>0</v>
      </c>
      <c r="BP17" s="49">
        <f t="shared" si="13"/>
        <v>0</v>
      </c>
      <c r="BQ17" s="49">
        <f t="shared" si="42"/>
        <v>0</v>
      </c>
      <c r="BR17" s="49">
        <f t="shared" si="14"/>
        <v>0</v>
      </c>
      <c r="BS17" s="84"/>
      <c r="BT17" s="49"/>
      <c r="BU17" s="49"/>
      <c r="BV17" s="49"/>
      <c r="BW17" s="49">
        <f t="shared" si="15"/>
        <v>0</v>
      </c>
      <c r="BX17" s="49">
        <f t="shared" si="16"/>
        <v>0</v>
      </c>
      <c r="BY17" s="105">
        <f t="shared" si="43"/>
        <v>0</v>
      </c>
      <c r="BZ17" s="49">
        <f t="shared" si="17"/>
        <v>0</v>
      </c>
      <c r="CA17" s="67"/>
      <c r="CB17" s="136">
        <f t="shared" si="44"/>
        <v>0</v>
      </c>
      <c r="CC17" s="137">
        <f t="shared" si="45"/>
        <v>0</v>
      </c>
      <c r="CD17" s="137">
        <f>BG17/((1+tab!$D$20)^2.5)</f>
        <v>0</v>
      </c>
      <c r="CE17" s="137">
        <f>BH17/((1+tab!$D$20)^6.5)</f>
        <v>0</v>
      </c>
      <c r="CF17" s="77"/>
    </row>
    <row r="18" spans="2:84" x14ac:dyDescent="0.2">
      <c r="B18" s="67"/>
      <c r="C18" s="47"/>
      <c r="D18" s="35"/>
      <c r="E18" s="36"/>
      <c r="F18" s="154" t="str">
        <f>IF(E18="","",E18+(tab!$D$17*365.25))</f>
        <v/>
      </c>
      <c r="G18" s="155">
        <f>ROUND(IF(E18="",0,(F18-I18)/tab!$D$11),0)</f>
        <v>0</v>
      </c>
      <c r="H18" s="37"/>
      <c r="I18" s="37"/>
      <c r="J18" s="38"/>
      <c r="K18" s="52"/>
      <c r="L18" s="94">
        <f>IF(K18/tab!$D$10/12&gt;tab!$D$12,tab!$D$12,K18/tab!$D$10/12)</f>
        <v>0</v>
      </c>
      <c r="M18" s="95">
        <f>ROUND(L18*tab!$D$10,0)</f>
        <v>0</v>
      </c>
      <c r="N18" s="95">
        <f t="shared" si="18"/>
        <v>0</v>
      </c>
      <c r="O18" s="95">
        <f t="shared" si="19"/>
        <v>0</v>
      </c>
      <c r="P18" s="96">
        <f t="shared" si="20"/>
        <v>0</v>
      </c>
      <c r="Q18" s="96">
        <f t="shared" si="21"/>
        <v>0</v>
      </c>
      <c r="R18" s="96">
        <f t="shared" si="22"/>
        <v>0</v>
      </c>
      <c r="S18" s="97">
        <f t="shared" si="23"/>
        <v>0</v>
      </c>
      <c r="T18" s="98">
        <f t="shared" si="24"/>
        <v>0</v>
      </c>
      <c r="U18" s="93">
        <f>(T18-I18)/tab!$D$11</f>
        <v>0</v>
      </c>
      <c r="V18" s="39">
        <f>((2*N18)+((S18-2)*O18))*(1+tab!$D$15)*(1+tab!$D$16)</f>
        <v>0</v>
      </c>
      <c r="W18" s="40">
        <f t="shared" si="25"/>
        <v>0</v>
      </c>
      <c r="X18" s="99">
        <f t="shared" si="26"/>
        <v>0</v>
      </c>
      <c r="Y18" s="39">
        <f>(IF(S18&lt;6,(S18-2)*(N18-O18),(W18*(N18-O18)))*(1+tab!$D$15)*(1+tab!$D$16))</f>
        <v>0</v>
      </c>
      <c r="Z18" s="127" t="s">
        <v>96</v>
      </c>
      <c r="AA18" s="58">
        <f t="shared" si="27"/>
        <v>0</v>
      </c>
      <c r="AB18" s="98">
        <f t="shared" si="28"/>
        <v>0</v>
      </c>
      <c r="AC18" s="39">
        <f>+(AA18*O18)*(1+tab!$D$15)*(1+tab!$D$16)</f>
        <v>0</v>
      </c>
      <c r="AD18" s="94">
        <f>IF(K18/tab!$D$10/12&gt;tab!$D$13,tab!$D$13,K18/tab!$D$10/12)</f>
        <v>0</v>
      </c>
      <c r="AE18" s="95">
        <f>ROUND(AD18*tab!$D$10,0)</f>
        <v>0</v>
      </c>
      <c r="AF18" s="95">
        <f t="shared" si="29"/>
        <v>0</v>
      </c>
      <c r="AG18" s="57" t="str">
        <f t="shared" si="30"/>
        <v>nee</v>
      </c>
      <c r="AH18" s="40">
        <v>34</v>
      </c>
      <c r="AI18" s="40">
        <f t="shared" si="31"/>
        <v>0</v>
      </c>
      <c r="AJ18" s="98">
        <f t="shared" si="32"/>
        <v>0</v>
      </c>
      <c r="AK18" s="39">
        <f>+(AI18*AF18)*(1+tab!$D$15)*(1+tab!$D$16)</f>
        <v>0</v>
      </c>
      <c r="AL18" s="57" t="str">
        <f t="shared" si="33"/>
        <v>nee</v>
      </c>
      <c r="AM18" s="50">
        <f t="shared" si="34"/>
        <v>0</v>
      </c>
      <c r="AN18" s="50" t="str">
        <f t="shared" si="35"/>
        <v/>
      </c>
      <c r="AO18" s="41">
        <f>IF(AE18*0.65&gt;tab!$D$14,tab!$D$14,AE18*0.65)</f>
        <v>0</v>
      </c>
      <c r="AP18" s="48">
        <f t="shared" si="36"/>
        <v>0</v>
      </c>
      <c r="AQ18" s="98">
        <f t="shared" si="37"/>
        <v>0</v>
      </c>
      <c r="AR18" s="39">
        <f>+AP18*AO18*(1+tab!$D$15)*(1+tab!$D$16)</f>
        <v>0</v>
      </c>
      <c r="AS18" s="39">
        <f t="shared" si="38"/>
        <v>0</v>
      </c>
      <c r="AT18" s="100">
        <f>IF(ROUND(IF(I18=0,0,((V$3-I18)/tab!$D$11)),0)&lt;1,0,ROUND(IF(I18=0,0,((V$3-I18)/tab!$D$11)),0))</f>
        <v>0</v>
      </c>
      <c r="AU18" s="41">
        <f t="shared" si="2"/>
        <v>0</v>
      </c>
      <c r="AV18" s="41">
        <f t="shared" si="3"/>
        <v>0</v>
      </c>
      <c r="AW18" s="41">
        <f t="shared" si="4"/>
        <v>0</v>
      </c>
      <c r="AX18" s="41">
        <f t="shared" si="5"/>
        <v>0</v>
      </c>
      <c r="AY18" s="41">
        <f t="shared" si="6"/>
        <v>0</v>
      </c>
      <c r="AZ18" s="39">
        <f t="shared" si="7"/>
        <v>0</v>
      </c>
      <c r="BA18" s="101">
        <f t="shared" si="39"/>
        <v>0</v>
      </c>
      <c r="BB18" s="102">
        <f>IF(J18="ja",tab!$K$3,tab!$K$4)</f>
        <v>0.5</v>
      </c>
      <c r="BC18" s="101">
        <f>IF(J18="ja",tab!$K$3*BA18,tab!$K$4*BA18)</f>
        <v>0</v>
      </c>
      <c r="BD18" s="53"/>
      <c r="BE18" s="103">
        <f t="shared" si="40"/>
        <v>0</v>
      </c>
      <c r="BF18" s="104">
        <f t="shared" si="8"/>
        <v>0</v>
      </c>
      <c r="BG18" s="104">
        <f t="shared" si="9"/>
        <v>0</v>
      </c>
      <c r="BH18" s="104">
        <f t="shared" si="41"/>
        <v>0</v>
      </c>
      <c r="BI18" s="77"/>
      <c r="BJ18" s="59"/>
      <c r="BK18" s="59"/>
      <c r="BL18" s="49">
        <f t="shared" si="10"/>
        <v>0</v>
      </c>
      <c r="BM18" s="49"/>
      <c r="BN18" s="49">
        <f t="shared" si="11"/>
        <v>0</v>
      </c>
      <c r="BO18" s="49">
        <f t="shared" si="12"/>
        <v>0</v>
      </c>
      <c r="BP18" s="49">
        <f t="shared" si="13"/>
        <v>0</v>
      </c>
      <c r="BQ18" s="49">
        <f t="shared" si="42"/>
        <v>0</v>
      </c>
      <c r="BR18" s="49">
        <f t="shared" si="14"/>
        <v>0</v>
      </c>
      <c r="BS18" s="84"/>
      <c r="BT18" s="49"/>
      <c r="BU18" s="49"/>
      <c r="BV18" s="49"/>
      <c r="BW18" s="49">
        <f t="shared" si="15"/>
        <v>0</v>
      </c>
      <c r="BX18" s="49">
        <f t="shared" si="16"/>
        <v>0</v>
      </c>
      <c r="BY18" s="105">
        <f t="shared" si="43"/>
        <v>0</v>
      </c>
      <c r="BZ18" s="49">
        <f t="shared" si="17"/>
        <v>0</v>
      </c>
      <c r="CA18" s="67"/>
      <c r="CB18" s="136">
        <f t="shared" si="44"/>
        <v>0</v>
      </c>
      <c r="CC18" s="137">
        <f t="shared" si="45"/>
        <v>0</v>
      </c>
      <c r="CD18" s="137">
        <f>BG18/((1+tab!$D$20)^2.5)</f>
        <v>0</v>
      </c>
      <c r="CE18" s="137">
        <f>BH18/((1+tab!$D$20)^6.5)</f>
        <v>0</v>
      </c>
      <c r="CF18" s="77"/>
    </row>
    <row r="19" spans="2:84" x14ac:dyDescent="0.2">
      <c r="B19" s="67"/>
      <c r="C19" s="47"/>
      <c r="D19" s="35"/>
      <c r="E19" s="36"/>
      <c r="F19" s="154" t="str">
        <f>IF(E19="","",E19+(tab!$D$17*365.25))</f>
        <v/>
      </c>
      <c r="G19" s="155">
        <f>ROUND(IF(E19="",0,(F19-I19)/tab!$D$11),0)</f>
        <v>0</v>
      </c>
      <c r="H19" s="37"/>
      <c r="I19" s="37"/>
      <c r="J19" s="38"/>
      <c r="K19" s="52"/>
      <c r="L19" s="94">
        <f>IF(K19/tab!$D$10/12&gt;tab!$D$12,tab!$D$12,K19/tab!$D$10/12)</f>
        <v>0</v>
      </c>
      <c r="M19" s="95">
        <f>ROUND(L19*tab!$D$10,0)</f>
        <v>0</v>
      </c>
      <c r="N19" s="95">
        <f t="shared" si="18"/>
        <v>0</v>
      </c>
      <c r="O19" s="95">
        <f t="shared" si="19"/>
        <v>0</v>
      </c>
      <c r="P19" s="96">
        <f t="shared" si="20"/>
        <v>0</v>
      </c>
      <c r="Q19" s="96">
        <f t="shared" si="21"/>
        <v>0</v>
      </c>
      <c r="R19" s="96">
        <f t="shared" si="22"/>
        <v>0</v>
      </c>
      <c r="S19" s="97">
        <f t="shared" si="23"/>
        <v>0</v>
      </c>
      <c r="T19" s="98">
        <f t="shared" si="24"/>
        <v>0</v>
      </c>
      <c r="U19" s="93">
        <f>(T19-I19)/tab!$D$11</f>
        <v>0</v>
      </c>
      <c r="V19" s="39">
        <f>((2*N19)+((S19-2)*O19))*(1+tab!$D$15)*(1+tab!$D$16)</f>
        <v>0</v>
      </c>
      <c r="W19" s="40">
        <f t="shared" si="25"/>
        <v>0</v>
      </c>
      <c r="X19" s="99">
        <f t="shared" si="26"/>
        <v>0</v>
      </c>
      <c r="Y19" s="39">
        <f>(IF(S19&lt;6,(S19-2)*(N19-O19),(W19*(N19-O19)))*(1+tab!$D$15)*(1+tab!$D$16))</f>
        <v>0</v>
      </c>
      <c r="Z19" s="127" t="s">
        <v>96</v>
      </c>
      <c r="AA19" s="58">
        <f t="shared" si="27"/>
        <v>0</v>
      </c>
      <c r="AB19" s="98">
        <f t="shared" si="28"/>
        <v>0</v>
      </c>
      <c r="AC19" s="39">
        <f>+(AA19*O19)*(1+tab!$D$15)*(1+tab!$D$16)</f>
        <v>0</v>
      </c>
      <c r="AD19" s="94">
        <f>IF(K19/tab!$D$10/12&gt;tab!$D$13,tab!$D$13,K19/tab!$D$10/12)</f>
        <v>0</v>
      </c>
      <c r="AE19" s="95">
        <f>ROUND(AD19*tab!$D$10,0)</f>
        <v>0</v>
      </c>
      <c r="AF19" s="95">
        <f t="shared" si="29"/>
        <v>0</v>
      </c>
      <c r="AG19" s="57" t="str">
        <f t="shared" si="30"/>
        <v>nee</v>
      </c>
      <c r="AH19" s="40">
        <v>34</v>
      </c>
      <c r="AI19" s="40">
        <f t="shared" si="31"/>
        <v>0</v>
      </c>
      <c r="AJ19" s="98">
        <f t="shared" si="32"/>
        <v>0</v>
      </c>
      <c r="AK19" s="39">
        <f>+(AI19*AF19)*(1+tab!$D$15)*(1+tab!$D$16)</f>
        <v>0</v>
      </c>
      <c r="AL19" s="57" t="str">
        <f t="shared" si="33"/>
        <v>nee</v>
      </c>
      <c r="AM19" s="50">
        <f t="shared" si="34"/>
        <v>0</v>
      </c>
      <c r="AN19" s="50" t="str">
        <f t="shared" si="35"/>
        <v/>
      </c>
      <c r="AO19" s="41">
        <f>IF(AE19*0.65&gt;tab!$D$14,tab!$D$14,AE19*0.65)</f>
        <v>0</v>
      </c>
      <c r="AP19" s="48">
        <f t="shared" si="36"/>
        <v>0</v>
      </c>
      <c r="AQ19" s="98">
        <f t="shared" si="37"/>
        <v>0</v>
      </c>
      <c r="AR19" s="39">
        <f>+AP19*AO19*(1+tab!$D$15)*(1+tab!$D$16)</f>
        <v>0</v>
      </c>
      <c r="AS19" s="39">
        <f t="shared" si="38"/>
        <v>0</v>
      </c>
      <c r="AT19" s="100">
        <f>IF(ROUND(IF(I19=0,0,((V$3-I19)/tab!$D$11)),0)&lt;1,0,ROUND(IF(I19=0,0,((V$3-I19)/tab!$D$11)),0))</f>
        <v>0</v>
      </c>
      <c r="AU19" s="41">
        <f t="shared" si="2"/>
        <v>0</v>
      </c>
      <c r="AV19" s="41">
        <f t="shared" si="3"/>
        <v>0</v>
      </c>
      <c r="AW19" s="41">
        <f t="shared" si="4"/>
        <v>0</v>
      </c>
      <c r="AX19" s="41">
        <f t="shared" si="5"/>
        <v>0</v>
      </c>
      <c r="AY19" s="41">
        <f t="shared" si="6"/>
        <v>0</v>
      </c>
      <c r="AZ19" s="39">
        <f t="shared" si="7"/>
        <v>0</v>
      </c>
      <c r="BA19" s="101">
        <f t="shared" si="39"/>
        <v>0</v>
      </c>
      <c r="BB19" s="102">
        <f>IF(J19="ja",tab!$K$3,tab!$K$4)</f>
        <v>0.5</v>
      </c>
      <c r="BC19" s="101">
        <f>IF(J19="ja",tab!$K$3*BA19,tab!$K$4*BA19)</f>
        <v>0</v>
      </c>
      <c r="BD19" s="53"/>
      <c r="BE19" s="103">
        <f t="shared" si="40"/>
        <v>0</v>
      </c>
      <c r="BF19" s="104">
        <f t="shared" si="8"/>
        <v>0</v>
      </c>
      <c r="BG19" s="104">
        <f t="shared" si="9"/>
        <v>0</v>
      </c>
      <c r="BH19" s="104">
        <f t="shared" si="41"/>
        <v>0</v>
      </c>
      <c r="BI19" s="77"/>
      <c r="BJ19" s="59"/>
      <c r="BK19" s="59"/>
      <c r="BL19" s="49">
        <f t="shared" si="10"/>
        <v>0</v>
      </c>
      <c r="BM19" s="49"/>
      <c r="BN19" s="49">
        <f t="shared" si="11"/>
        <v>0</v>
      </c>
      <c r="BO19" s="49">
        <f t="shared" si="12"/>
        <v>0</v>
      </c>
      <c r="BP19" s="49">
        <f t="shared" si="13"/>
        <v>0</v>
      </c>
      <c r="BQ19" s="49">
        <f t="shared" si="42"/>
        <v>0</v>
      </c>
      <c r="BR19" s="49">
        <f t="shared" si="14"/>
        <v>0</v>
      </c>
      <c r="BS19" s="84"/>
      <c r="BT19" s="49"/>
      <c r="BU19" s="49"/>
      <c r="BV19" s="49"/>
      <c r="BW19" s="49">
        <f t="shared" si="15"/>
        <v>0</v>
      </c>
      <c r="BX19" s="49">
        <f t="shared" si="16"/>
        <v>0</v>
      </c>
      <c r="BY19" s="105">
        <f t="shared" si="43"/>
        <v>0</v>
      </c>
      <c r="BZ19" s="49">
        <f t="shared" si="17"/>
        <v>0</v>
      </c>
      <c r="CA19" s="67"/>
      <c r="CB19" s="136">
        <f t="shared" si="44"/>
        <v>0</v>
      </c>
      <c r="CC19" s="137">
        <f t="shared" si="45"/>
        <v>0</v>
      </c>
      <c r="CD19" s="137">
        <f>BG19/((1+tab!$D$20)^2.5)</f>
        <v>0</v>
      </c>
      <c r="CE19" s="137">
        <f>BH19/((1+tab!$D$20)^6.5)</f>
        <v>0</v>
      </c>
      <c r="CF19" s="77"/>
    </row>
    <row r="20" spans="2:84" x14ac:dyDescent="0.2">
      <c r="B20" s="67"/>
      <c r="C20" s="47"/>
      <c r="D20" s="35"/>
      <c r="E20" s="36"/>
      <c r="F20" s="154" t="str">
        <f>IF(E20="","",E20+(tab!$D$17*365.25))</f>
        <v/>
      </c>
      <c r="G20" s="155">
        <f>ROUND(IF(E20="",0,(F20-I20)/tab!$D$11),0)</f>
        <v>0</v>
      </c>
      <c r="H20" s="37"/>
      <c r="I20" s="37"/>
      <c r="J20" s="38"/>
      <c r="K20" s="52"/>
      <c r="L20" s="94">
        <f>IF(K20/tab!$D$10/12&gt;tab!$D$12,tab!$D$12,K20/tab!$D$10/12)</f>
        <v>0</v>
      </c>
      <c r="M20" s="95">
        <f>ROUND(L20*tab!$D$10,0)</f>
        <v>0</v>
      </c>
      <c r="N20" s="95">
        <f t="shared" si="18"/>
        <v>0</v>
      </c>
      <c r="O20" s="95">
        <f t="shared" si="19"/>
        <v>0</v>
      </c>
      <c r="P20" s="96">
        <f t="shared" si="20"/>
        <v>0</v>
      </c>
      <c r="Q20" s="96">
        <f t="shared" si="21"/>
        <v>0</v>
      </c>
      <c r="R20" s="96">
        <f t="shared" si="22"/>
        <v>0</v>
      </c>
      <c r="S20" s="97">
        <f t="shared" si="23"/>
        <v>0</v>
      </c>
      <c r="T20" s="98">
        <f t="shared" si="24"/>
        <v>0</v>
      </c>
      <c r="U20" s="93">
        <f>(T20-I20)/tab!$D$11</f>
        <v>0</v>
      </c>
      <c r="V20" s="39">
        <f>((2*N20)+((S20-2)*O20))*(1+tab!$D$15)*(1+tab!$D$16)</f>
        <v>0</v>
      </c>
      <c r="W20" s="40">
        <f t="shared" si="25"/>
        <v>0</v>
      </c>
      <c r="X20" s="99">
        <f t="shared" si="26"/>
        <v>0</v>
      </c>
      <c r="Y20" s="39">
        <f>(IF(S20&lt;6,(S20-2)*(N20-O20),(W20*(N20-O20)))*(1+tab!$D$15)*(1+tab!$D$16))</f>
        <v>0</v>
      </c>
      <c r="Z20" s="127" t="s">
        <v>96</v>
      </c>
      <c r="AA20" s="58">
        <f t="shared" si="27"/>
        <v>0</v>
      </c>
      <c r="AB20" s="98">
        <f t="shared" si="28"/>
        <v>0</v>
      </c>
      <c r="AC20" s="39">
        <f>+(AA20*O20)*(1+tab!$D$15)*(1+tab!$D$16)</f>
        <v>0</v>
      </c>
      <c r="AD20" s="94">
        <f>IF(K20/tab!$D$10/12&gt;tab!$D$13,tab!$D$13,K20/tab!$D$10/12)</f>
        <v>0</v>
      </c>
      <c r="AE20" s="95">
        <f>ROUND(AD20*tab!$D$10,0)</f>
        <v>0</v>
      </c>
      <c r="AF20" s="95">
        <f t="shared" si="29"/>
        <v>0</v>
      </c>
      <c r="AG20" s="57" t="str">
        <f t="shared" si="30"/>
        <v>nee</v>
      </c>
      <c r="AH20" s="40">
        <v>34</v>
      </c>
      <c r="AI20" s="40">
        <f t="shared" si="31"/>
        <v>0</v>
      </c>
      <c r="AJ20" s="98">
        <f t="shared" si="32"/>
        <v>0</v>
      </c>
      <c r="AK20" s="39">
        <f>+(AI20*AF20)*(1+tab!$D$15)*(1+tab!$D$16)</f>
        <v>0</v>
      </c>
      <c r="AL20" s="57" t="str">
        <f t="shared" si="33"/>
        <v>nee</v>
      </c>
      <c r="AM20" s="50">
        <f t="shared" si="34"/>
        <v>0</v>
      </c>
      <c r="AN20" s="50" t="str">
        <f t="shared" si="35"/>
        <v/>
      </c>
      <c r="AO20" s="41">
        <f>IF(AE20*0.65&gt;tab!$D$14,tab!$D$14,AE20*0.65)</f>
        <v>0</v>
      </c>
      <c r="AP20" s="48">
        <f t="shared" si="36"/>
        <v>0</v>
      </c>
      <c r="AQ20" s="98">
        <f t="shared" si="37"/>
        <v>0</v>
      </c>
      <c r="AR20" s="39">
        <f>+AP20*AO20*(1+tab!$D$15)*(1+tab!$D$16)</f>
        <v>0</v>
      </c>
      <c r="AS20" s="39">
        <f t="shared" si="38"/>
        <v>0</v>
      </c>
      <c r="AT20" s="100">
        <f>IF(ROUND(IF(I20=0,0,((V$3-I20)/tab!$D$11)),0)&lt;1,0,ROUND(IF(I20=0,0,((V$3-I20)/tab!$D$11)),0))</f>
        <v>0</v>
      </c>
      <c r="AU20" s="41">
        <f t="shared" si="2"/>
        <v>0</v>
      </c>
      <c r="AV20" s="41">
        <f t="shared" si="3"/>
        <v>0</v>
      </c>
      <c r="AW20" s="41">
        <f t="shared" si="4"/>
        <v>0</v>
      </c>
      <c r="AX20" s="41">
        <f t="shared" si="5"/>
        <v>0</v>
      </c>
      <c r="AY20" s="41">
        <f t="shared" si="6"/>
        <v>0</v>
      </c>
      <c r="AZ20" s="39">
        <f t="shared" si="7"/>
        <v>0</v>
      </c>
      <c r="BA20" s="101">
        <f t="shared" si="39"/>
        <v>0</v>
      </c>
      <c r="BB20" s="102">
        <f>IF(J20="ja",tab!$K$3,tab!$K$4)</f>
        <v>0.5</v>
      </c>
      <c r="BC20" s="101">
        <f>IF(J20="ja",tab!$K$3*BA20,tab!$K$4*BA20)</f>
        <v>0</v>
      </c>
      <c r="BD20" s="53"/>
      <c r="BE20" s="103">
        <f t="shared" si="40"/>
        <v>0</v>
      </c>
      <c r="BF20" s="104">
        <f t="shared" si="8"/>
        <v>0</v>
      </c>
      <c r="BG20" s="104">
        <f t="shared" si="9"/>
        <v>0</v>
      </c>
      <c r="BH20" s="104">
        <f t="shared" si="41"/>
        <v>0</v>
      </c>
      <c r="BI20" s="77"/>
      <c r="BJ20" s="59"/>
      <c r="BK20" s="59"/>
      <c r="BL20" s="49">
        <f t="shared" si="10"/>
        <v>0</v>
      </c>
      <c r="BM20" s="49"/>
      <c r="BN20" s="49">
        <f t="shared" si="11"/>
        <v>0</v>
      </c>
      <c r="BO20" s="49">
        <f t="shared" si="12"/>
        <v>0</v>
      </c>
      <c r="BP20" s="49">
        <f t="shared" si="13"/>
        <v>0</v>
      </c>
      <c r="BQ20" s="49">
        <f t="shared" si="42"/>
        <v>0</v>
      </c>
      <c r="BR20" s="49">
        <f t="shared" si="14"/>
        <v>0</v>
      </c>
      <c r="BS20" s="84"/>
      <c r="BT20" s="49"/>
      <c r="BU20" s="49"/>
      <c r="BV20" s="49"/>
      <c r="BW20" s="49">
        <f t="shared" si="15"/>
        <v>0</v>
      </c>
      <c r="BX20" s="49">
        <f t="shared" si="16"/>
        <v>0</v>
      </c>
      <c r="BY20" s="105">
        <f t="shared" si="43"/>
        <v>0</v>
      </c>
      <c r="BZ20" s="49">
        <f t="shared" si="17"/>
        <v>0</v>
      </c>
      <c r="CA20" s="67"/>
      <c r="CB20" s="136">
        <f t="shared" si="44"/>
        <v>0</v>
      </c>
      <c r="CC20" s="137">
        <f t="shared" si="45"/>
        <v>0</v>
      </c>
      <c r="CD20" s="137">
        <f>BG20/((1+tab!$D$20)^2.5)</f>
        <v>0</v>
      </c>
      <c r="CE20" s="137">
        <f>BH20/((1+tab!$D$20)^6.5)</f>
        <v>0</v>
      </c>
      <c r="CF20" s="77"/>
    </row>
    <row r="21" spans="2:84" x14ac:dyDescent="0.2">
      <c r="B21" s="67"/>
      <c r="C21" s="47"/>
      <c r="D21" s="35"/>
      <c r="E21" s="36"/>
      <c r="F21" s="154" t="str">
        <f>IF(E21="","",E21+(tab!$D$17*365.25))</f>
        <v/>
      </c>
      <c r="G21" s="155">
        <f>ROUND(IF(E21="",0,(F21-I21)/tab!$D$11),0)</f>
        <v>0</v>
      </c>
      <c r="H21" s="37"/>
      <c r="I21" s="37"/>
      <c r="J21" s="38"/>
      <c r="K21" s="52"/>
      <c r="L21" s="94">
        <f>IF(K21/tab!$D$10/12&gt;tab!$D$12,tab!$D$12,K21/tab!$D$10/12)</f>
        <v>0</v>
      </c>
      <c r="M21" s="95">
        <f>ROUND(L21*tab!$D$10,0)</f>
        <v>0</v>
      </c>
      <c r="N21" s="95">
        <f t="shared" si="18"/>
        <v>0</v>
      </c>
      <c r="O21" s="95">
        <f t="shared" si="19"/>
        <v>0</v>
      </c>
      <c r="P21" s="96">
        <f t="shared" si="20"/>
        <v>0</v>
      </c>
      <c r="Q21" s="96">
        <f t="shared" si="21"/>
        <v>0</v>
      </c>
      <c r="R21" s="96">
        <f t="shared" si="22"/>
        <v>0</v>
      </c>
      <c r="S21" s="97">
        <f t="shared" si="23"/>
        <v>0</v>
      </c>
      <c r="T21" s="98">
        <f t="shared" si="24"/>
        <v>0</v>
      </c>
      <c r="U21" s="93">
        <f>(T21-I21)/tab!$D$11</f>
        <v>0</v>
      </c>
      <c r="V21" s="39">
        <f>((2*N21)+((S21-2)*O21))*(1+tab!$D$15)*(1+tab!$D$16)</f>
        <v>0</v>
      </c>
      <c r="W21" s="40">
        <f t="shared" si="25"/>
        <v>0</v>
      </c>
      <c r="X21" s="99">
        <f t="shared" si="26"/>
        <v>0</v>
      </c>
      <c r="Y21" s="39">
        <f>(IF(S21&lt;6,(S21-2)*(N21-O21),(W21*(N21-O21)))*(1+tab!$D$15)*(1+tab!$D$16))</f>
        <v>0</v>
      </c>
      <c r="Z21" s="127" t="s">
        <v>96</v>
      </c>
      <c r="AA21" s="58">
        <f t="shared" si="27"/>
        <v>0</v>
      </c>
      <c r="AB21" s="98">
        <f t="shared" si="28"/>
        <v>0</v>
      </c>
      <c r="AC21" s="39">
        <f>+(AA21*O21)*(1+tab!$D$15)*(1+tab!$D$16)</f>
        <v>0</v>
      </c>
      <c r="AD21" s="94">
        <f>IF(K21/tab!$D$10/12&gt;tab!$D$13,tab!$D$13,K21/tab!$D$10/12)</f>
        <v>0</v>
      </c>
      <c r="AE21" s="95">
        <f>ROUND(AD21*tab!$D$10,0)</f>
        <v>0</v>
      </c>
      <c r="AF21" s="95">
        <f t="shared" si="29"/>
        <v>0</v>
      </c>
      <c r="AG21" s="57" t="str">
        <f t="shared" si="30"/>
        <v>nee</v>
      </c>
      <c r="AH21" s="40">
        <v>34</v>
      </c>
      <c r="AI21" s="40">
        <f t="shared" si="31"/>
        <v>0</v>
      </c>
      <c r="AJ21" s="98">
        <f t="shared" si="32"/>
        <v>0</v>
      </c>
      <c r="AK21" s="39">
        <f>+(AI21*AF21)*(1+tab!$D$15)*(1+tab!$D$16)</f>
        <v>0</v>
      </c>
      <c r="AL21" s="57" t="str">
        <f t="shared" si="33"/>
        <v>nee</v>
      </c>
      <c r="AM21" s="50">
        <f t="shared" si="34"/>
        <v>0</v>
      </c>
      <c r="AN21" s="50" t="str">
        <f t="shared" si="35"/>
        <v/>
      </c>
      <c r="AO21" s="41">
        <f>IF(AE21*0.65&gt;tab!$D$14,tab!$D$14,AE21*0.65)</f>
        <v>0</v>
      </c>
      <c r="AP21" s="48">
        <f t="shared" si="36"/>
        <v>0</v>
      </c>
      <c r="AQ21" s="98">
        <f t="shared" si="37"/>
        <v>0</v>
      </c>
      <c r="AR21" s="39">
        <f>+AP21*AO21*(1+tab!$D$15)*(1+tab!$D$16)</f>
        <v>0</v>
      </c>
      <c r="AS21" s="39">
        <f t="shared" si="38"/>
        <v>0</v>
      </c>
      <c r="AT21" s="100">
        <f>IF(ROUND(IF(I21=0,0,((V$3-I21)/tab!$D$11)),0)&lt;1,0,ROUND(IF(I21=0,0,((V$3-I21)/tab!$D$11)),0))</f>
        <v>0</v>
      </c>
      <c r="AU21" s="41">
        <f t="shared" si="2"/>
        <v>0</v>
      </c>
      <c r="AV21" s="41">
        <f t="shared" si="3"/>
        <v>0</v>
      </c>
      <c r="AW21" s="41">
        <f t="shared" si="4"/>
        <v>0</v>
      </c>
      <c r="AX21" s="41">
        <f t="shared" si="5"/>
        <v>0</v>
      </c>
      <c r="AY21" s="41">
        <f t="shared" si="6"/>
        <v>0</v>
      </c>
      <c r="AZ21" s="39">
        <f t="shared" si="7"/>
        <v>0</v>
      </c>
      <c r="BA21" s="101">
        <f t="shared" si="39"/>
        <v>0</v>
      </c>
      <c r="BB21" s="102">
        <f>IF(J21="ja",tab!$K$3,tab!$K$4)</f>
        <v>0.5</v>
      </c>
      <c r="BC21" s="101">
        <f>IF(J21="ja",tab!$K$3*BA21,tab!$K$4*BA21)</f>
        <v>0</v>
      </c>
      <c r="BD21" s="53"/>
      <c r="BE21" s="103">
        <f t="shared" si="40"/>
        <v>0</v>
      </c>
      <c r="BF21" s="104">
        <f t="shared" si="8"/>
        <v>0</v>
      </c>
      <c r="BG21" s="104">
        <f t="shared" si="9"/>
        <v>0</v>
      </c>
      <c r="BH21" s="104">
        <f t="shared" si="41"/>
        <v>0</v>
      </c>
      <c r="BI21" s="77"/>
      <c r="BJ21" s="59"/>
      <c r="BK21" s="59"/>
      <c r="BL21" s="49">
        <f t="shared" si="10"/>
        <v>0</v>
      </c>
      <c r="BM21" s="49"/>
      <c r="BN21" s="49">
        <f t="shared" si="11"/>
        <v>0</v>
      </c>
      <c r="BO21" s="49">
        <f t="shared" si="12"/>
        <v>0</v>
      </c>
      <c r="BP21" s="49">
        <f t="shared" si="13"/>
        <v>0</v>
      </c>
      <c r="BQ21" s="49">
        <f t="shared" si="42"/>
        <v>0</v>
      </c>
      <c r="BR21" s="49">
        <f t="shared" si="14"/>
        <v>0</v>
      </c>
      <c r="BS21" s="84"/>
      <c r="BT21" s="49"/>
      <c r="BU21" s="49"/>
      <c r="BV21" s="49"/>
      <c r="BW21" s="49">
        <f t="shared" si="15"/>
        <v>0</v>
      </c>
      <c r="BX21" s="49">
        <f t="shared" si="16"/>
        <v>0</v>
      </c>
      <c r="BY21" s="105">
        <f t="shared" si="43"/>
        <v>0</v>
      </c>
      <c r="BZ21" s="49">
        <f t="shared" si="17"/>
        <v>0</v>
      </c>
      <c r="CA21" s="67"/>
      <c r="CB21" s="136">
        <f t="shared" si="44"/>
        <v>0</v>
      </c>
      <c r="CC21" s="137">
        <f t="shared" si="45"/>
        <v>0</v>
      </c>
      <c r="CD21" s="137">
        <f>BG21/((1+tab!$D$20)^2.5)</f>
        <v>0</v>
      </c>
      <c r="CE21" s="137">
        <f>BH21/((1+tab!$D$20)^6.5)</f>
        <v>0</v>
      </c>
      <c r="CF21" s="77"/>
    </row>
    <row r="22" spans="2:84" x14ac:dyDescent="0.2">
      <c r="B22" s="67"/>
      <c r="C22" s="47"/>
      <c r="D22" s="35"/>
      <c r="E22" s="36"/>
      <c r="F22" s="154" t="str">
        <f>IF(E22="","",E22+(tab!$D$17*365.25))</f>
        <v/>
      </c>
      <c r="G22" s="155">
        <f>ROUND(IF(E22="",0,(F22-I22)/tab!$D$11),0)</f>
        <v>0</v>
      </c>
      <c r="H22" s="37"/>
      <c r="I22" s="37"/>
      <c r="J22" s="38"/>
      <c r="K22" s="52"/>
      <c r="L22" s="94">
        <f>IF(K22/tab!$D$10/12&gt;tab!$D$12,tab!$D$12,K22/tab!$D$10/12)</f>
        <v>0</v>
      </c>
      <c r="M22" s="95">
        <f>ROUND(L22*tab!$D$10,0)</f>
        <v>0</v>
      </c>
      <c r="N22" s="95">
        <f t="shared" si="18"/>
        <v>0</v>
      </c>
      <c r="O22" s="95">
        <f t="shared" si="19"/>
        <v>0</v>
      </c>
      <c r="P22" s="96">
        <f t="shared" si="20"/>
        <v>0</v>
      </c>
      <c r="Q22" s="96">
        <f t="shared" si="21"/>
        <v>0</v>
      </c>
      <c r="R22" s="96">
        <f t="shared" si="22"/>
        <v>0</v>
      </c>
      <c r="S22" s="97">
        <f t="shared" si="23"/>
        <v>0</v>
      </c>
      <c r="T22" s="98">
        <f t="shared" si="24"/>
        <v>0</v>
      </c>
      <c r="U22" s="93">
        <f>(T22-I22)/tab!$D$11</f>
        <v>0</v>
      </c>
      <c r="V22" s="39">
        <f>((2*N22)+((S22-2)*O22))*(1+tab!$D$15)*(1+tab!$D$16)</f>
        <v>0</v>
      </c>
      <c r="W22" s="40">
        <f t="shared" si="25"/>
        <v>0</v>
      </c>
      <c r="X22" s="99">
        <f t="shared" si="26"/>
        <v>0</v>
      </c>
      <c r="Y22" s="39">
        <f>(IF(S22&lt;6,(S22-2)*(N22-O22),(W22*(N22-O22)))*(1+tab!$D$15)*(1+tab!$D$16))</f>
        <v>0</v>
      </c>
      <c r="Z22" s="127" t="s">
        <v>96</v>
      </c>
      <c r="AA22" s="58">
        <f t="shared" si="27"/>
        <v>0</v>
      </c>
      <c r="AB22" s="98">
        <f t="shared" si="28"/>
        <v>0</v>
      </c>
      <c r="AC22" s="39">
        <f>+(AA22*O22)*(1+tab!$D$15)*(1+tab!$D$16)</f>
        <v>0</v>
      </c>
      <c r="AD22" s="94">
        <f>IF(K22/tab!$D$10/12&gt;tab!$D$13,tab!$D$13,K22/tab!$D$10/12)</f>
        <v>0</v>
      </c>
      <c r="AE22" s="95">
        <f>ROUND(AD22*tab!$D$10,0)</f>
        <v>0</v>
      </c>
      <c r="AF22" s="95">
        <f t="shared" si="29"/>
        <v>0</v>
      </c>
      <c r="AG22" s="57" t="str">
        <f t="shared" si="30"/>
        <v>nee</v>
      </c>
      <c r="AH22" s="40">
        <v>34</v>
      </c>
      <c r="AI22" s="40">
        <f t="shared" si="31"/>
        <v>0</v>
      </c>
      <c r="AJ22" s="98">
        <f t="shared" si="32"/>
        <v>0</v>
      </c>
      <c r="AK22" s="39">
        <f>+(AI22*AF22)*(1+tab!$D$15)*(1+tab!$D$16)</f>
        <v>0</v>
      </c>
      <c r="AL22" s="57" t="str">
        <f t="shared" si="33"/>
        <v>nee</v>
      </c>
      <c r="AM22" s="50">
        <f t="shared" si="34"/>
        <v>0</v>
      </c>
      <c r="AN22" s="50" t="str">
        <f t="shared" si="35"/>
        <v/>
      </c>
      <c r="AO22" s="41">
        <f>IF(AE22*0.65&gt;tab!$D$14,tab!$D$14,AE22*0.65)</f>
        <v>0</v>
      </c>
      <c r="AP22" s="48">
        <f t="shared" si="36"/>
        <v>0</v>
      </c>
      <c r="AQ22" s="98">
        <f t="shared" si="37"/>
        <v>0</v>
      </c>
      <c r="AR22" s="39">
        <f>+AP22*AO22*(1+tab!$D$15)*(1+tab!$D$16)</f>
        <v>0</v>
      </c>
      <c r="AS22" s="39">
        <f t="shared" si="38"/>
        <v>0</v>
      </c>
      <c r="AT22" s="100">
        <f>IF(ROUND(IF(I22=0,0,((V$3-I22)/tab!$D$11)),0)&lt;1,0,ROUND(IF(I22=0,0,((V$3-I22)/tab!$D$11)),0))</f>
        <v>0</v>
      </c>
      <c r="AU22" s="41">
        <f t="shared" si="2"/>
        <v>0</v>
      </c>
      <c r="AV22" s="41">
        <f t="shared" si="3"/>
        <v>0</v>
      </c>
      <c r="AW22" s="41">
        <f t="shared" si="4"/>
        <v>0</v>
      </c>
      <c r="AX22" s="41">
        <f t="shared" si="5"/>
        <v>0</v>
      </c>
      <c r="AY22" s="41">
        <f t="shared" si="6"/>
        <v>0</v>
      </c>
      <c r="AZ22" s="39">
        <f t="shared" si="7"/>
        <v>0</v>
      </c>
      <c r="BA22" s="101">
        <f t="shared" si="39"/>
        <v>0</v>
      </c>
      <c r="BB22" s="102">
        <f>IF(J22="ja",tab!$K$3,tab!$K$4)</f>
        <v>0.5</v>
      </c>
      <c r="BC22" s="101">
        <f>IF(J22="ja",tab!$K$3*BA22,tab!$K$4*BA22)</f>
        <v>0</v>
      </c>
      <c r="BD22" s="53"/>
      <c r="BE22" s="103">
        <f t="shared" si="40"/>
        <v>0</v>
      </c>
      <c r="BF22" s="104">
        <f t="shared" si="8"/>
        <v>0</v>
      </c>
      <c r="BG22" s="104">
        <f t="shared" si="9"/>
        <v>0</v>
      </c>
      <c r="BH22" s="104">
        <f t="shared" si="41"/>
        <v>0</v>
      </c>
      <c r="BI22" s="77"/>
      <c r="BJ22" s="59"/>
      <c r="BK22" s="59"/>
      <c r="BL22" s="49">
        <f t="shared" si="10"/>
        <v>0</v>
      </c>
      <c r="BM22" s="49"/>
      <c r="BN22" s="49">
        <f t="shared" si="11"/>
        <v>0</v>
      </c>
      <c r="BO22" s="49">
        <f t="shared" si="12"/>
        <v>0</v>
      </c>
      <c r="BP22" s="49">
        <f t="shared" si="13"/>
        <v>0</v>
      </c>
      <c r="BQ22" s="49">
        <f t="shared" si="42"/>
        <v>0</v>
      </c>
      <c r="BR22" s="49">
        <f t="shared" si="14"/>
        <v>0</v>
      </c>
      <c r="BS22" s="84"/>
      <c r="BT22" s="49"/>
      <c r="BU22" s="49"/>
      <c r="BV22" s="49"/>
      <c r="BW22" s="49">
        <f t="shared" si="15"/>
        <v>0</v>
      </c>
      <c r="BX22" s="49">
        <f t="shared" si="16"/>
        <v>0</v>
      </c>
      <c r="BY22" s="105">
        <f t="shared" si="43"/>
        <v>0</v>
      </c>
      <c r="BZ22" s="49">
        <f t="shared" si="17"/>
        <v>0</v>
      </c>
      <c r="CA22" s="67"/>
      <c r="CB22" s="136">
        <f t="shared" si="44"/>
        <v>0</v>
      </c>
      <c r="CC22" s="137">
        <f t="shared" si="45"/>
        <v>0</v>
      </c>
      <c r="CD22" s="137">
        <f>BG22/((1+tab!$D$20)^2.5)</f>
        <v>0</v>
      </c>
      <c r="CE22" s="137">
        <f>BH22/((1+tab!$D$20)^6.5)</f>
        <v>0</v>
      </c>
      <c r="CF22" s="77"/>
    </row>
    <row r="23" spans="2:84" x14ac:dyDescent="0.2">
      <c r="B23" s="67"/>
      <c r="C23" s="47"/>
      <c r="D23" s="35"/>
      <c r="E23" s="36"/>
      <c r="F23" s="154" t="str">
        <f>IF(E23="","",E23+(tab!$D$17*365.25))</f>
        <v/>
      </c>
      <c r="G23" s="155">
        <f>ROUND(IF(E23="",0,(F23-I23)/tab!$D$11),0)</f>
        <v>0</v>
      </c>
      <c r="H23" s="37"/>
      <c r="I23" s="37"/>
      <c r="J23" s="38"/>
      <c r="K23" s="52"/>
      <c r="L23" s="94">
        <f>IF(K23/tab!$D$10/12&gt;tab!$D$12,tab!$D$12,K23/tab!$D$10/12)</f>
        <v>0</v>
      </c>
      <c r="M23" s="95">
        <f>ROUND(L23*tab!$D$10,0)</f>
        <v>0</v>
      </c>
      <c r="N23" s="95">
        <f t="shared" si="18"/>
        <v>0</v>
      </c>
      <c r="O23" s="95">
        <f t="shared" si="19"/>
        <v>0</v>
      </c>
      <c r="P23" s="96">
        <f t="shared" si="20"/>
        <v>0</v>
      </c>
      <c r="Q23" s="96">
        <f t="shared" si="21"/>
        <v>0</v>
      </c>
      <c r="R23" s="96">
        <f t="shared" si="22"/>
        <v>0</v>
      </c>
      <c r="S23" s="97">
        <f t="shared" si="23"/>
        <v>0</v>
      </c>
      <c r="T23" s="98">
        <f t="shared" si="24"/>
        <v>0</v>
      </c>
      <c r="U23" s="93">
        <f>(T23-I23)/tab!$D$11</f>
        <v>0</v>
      </c>
      <c r="V23" s="39">
        <f>((2*N23)+((S23-2)*O23))*(1+tab!$D$15)*(1+tab!$D$16)</f>
        <v>0</v>
      </c>
      <c r="W23" s="40">
        <f t="shared" si="25"/>
        <v>0</v>
      </c>
      <c r="X23" s="99">
        <f t="shared" si="26"/>
        <v>0</v>
      </c>
      <c r="Y23" s="39">
        <f>(IF(S23&lt;6,(S23-2)*(N23-O23),(W23*(N23-O23)))*(1+tab!$D$15)*(1+tab!$D$16))</f>
        <v>0</v>
      </c>
      <c r="Z23" s="127" t="s">
        <v>96</v>
      </c>
      <c r="AA23" s="58">
        <f t="shared" si="27"/>
        <v>0</v>
      </c>
      <c r="AB23" s="98">
        <f t="shared" si="28"/>
        <v>0</v>
      </c>
      <c r="AC23" s="39">
        <f>+(AA23*O23)*(1+tab!$D$15)*(1+tab!$D$16)</f>
        <v>0</v>
      </c>
      <c r="AD23" s="94">
        <f>IF(K23/tab!$D$10/12&gt;tab!$D$13,tab!$D$13,K23/tab!$D$10/12)</f>
        <v>0</v>
      </c>
      <c r="AE23" s="95">
        <f>ROUND(AD23*tab!$D$10,0)</f>
        <v>0</v>
      </c>
      <c r="AF23" s="95">
        <f t="shared" si="29"/>
        <v>0</v>
      </c>
      <c r="AG23" s="57" t="str">
        <f t="shared" si="30"/>
        <v>nee</v>
      </c>
      <c r="AH23" s="40">
        <v>34</v>
      </c>
      <c r="AI23" s="40">
        <f t="shared" si="31"/>
        <v>0</v>
      </c>
      <c r="AJ23" s="98">
        <f t="shared" si="32"/>
        <v>0</v>
      </c>
      <c r="AK23" s="39">
        <f>+(AI23*AF23)*(1+tab!$D$15)*(1+tab!$D$16)</f>
        <v>0</v>
      </c>
      <c r="AL23" s="57" t="str">
        <f t="shared" si="33"/>
        <v>nee</v>
      </c>
      <c r="AM23" s="50">
        <f t="shared" si="34"/>
        <v>0</v>
      </c>
      <c r="AN23" s="50" t="str">
        <f t="shared" si="35"/>
        <v/>
      </c>
      <c r="AO23" s="41">
        <f>IF(AE23*0.65&gt;tab!$D$14,tab!$D$14,AE23*0.65)</f>
        <v>0</v>
      </c>
      <c r="AP23" s="48">
        <f t="shared" si="36"/>
        <v>0</v>
      </c>
      <c r="AQ23" s="98">
        <f t="shared" si="37"/>
        <v>0</v>
      </c>
      <c r="AR23" s="39">
        <f>+AP23*AO23*(1+tab!$D$15)*(1+tab!$D$16)</f>
        <v>0</v>
      </c>
      <c r="AS23" s="39">
        <f t="shared" si="38"/>
        <v>0</v>
      </c>
      <c r="AT23" s="100">
        <f>IF(ROUND(IF(I23=0,0,((V$3-I23)/tab!$D$11)),0)&lt;1,0,ROUND(IF(I23=0,0,((V$3-I23)/tab!$D$11)),0))</f>
        <v>0</v>
      </c>
      <c r="AU23" s="41">
        <f t="shared" si="2"/>
        <v>0</v>
      </c>
      <c r="AV23" s="41">
        <f t="shared" si="3"/>
        <v>0</v>
      </c>
      <c r="AW23" s="41">
        <f t="shared" si="4"/>
        <v>0</v>
      </c>
      <c r="AX23" s="41">
        <f t="shared" si="5"/>
        <v>0</v>
      </c>
      <c r="AY23" s="41">
        <f t="shared" si="6"/>
        <v>0</v>
      </c>
      <c r="AZ23" s="39">
        <f t="shared" si="7"/>
        <v>0</v>
      </c>
      <c r="BA23" s="101">
        <f t="shared" si="39"/>
        <v>0</v>
      </c>
      <c r="BB23" s="102">
        <f>IF(J23="ja",tab!$K$3,tab!$K$4)</f>
        <v>0.5</v>
      </c>
      <c r="BC23" s="101">
        <f>IF(J23="ja",tab!$K$3*BA23,tab!$K$4*BA23)</f>
        <v>0</v>
      </c>
      <c r="BD23" s="53"/>
      <c r="BE23" s="103">
        <f t="shared" si="40"/>
        <v>0</v>
      </c>
      <c r="BF23" s="104">
        <f t="shared" si="8"/>
        <v>0</v>
      </c>
      <c r="BG23" s="104">
        <f t="shared" si="9"/>
        <v>0</v>
      </c>
      <c r="BH23" s="104">
        <f t="shared" si="41"/>
        <v>0</v>
      </c>
      <c r="BI23" s="77"/>
      <c r="BJ23" s="59"/>
      <c r="BK23" s="59"/>
      <c r="BL23" s="49">
        <f t="shared" si="10"/>
        <v>0</v>
      </c>
      <c r="BM23" s="49"/>
      <c r="BN23" s="49">
        <f t="shared" si="11"/>
        <v>0</v>
      </c>
      <c r="BO23" s="49">
        <f t="shared" si="12"/>
        <v>0</v>
      </c>
      <c r="BP23" s="49">
        <f t="shared" si="13"/>
        <v>0</v>
      </c>
      <c r="BQ23" s="49">
        <f t="shared" si="42"/>
        <v>0</v>
      </c>
      <c r="BR23" s="49">
        <f t="shared" si="14"/>
        <v>0</v>
      </c>
      <c r="BS23" s="84"/>
      <c r="BT23" s="49"/>
      <c r="BU23" s="49"/>
      <c r="BV23" s="49"/>
      <c r="BW23" s="49">
        <f t="shared" si="15"/>
        <v>0</v>
      </c>
      <c r="BX23" s="49">
        <f t="shared" si="16"/>
        <v>0</v>
      </c>
      <c r="BY23" s="105">
        <f t="shared" si="43"/>
        <v>0</v>
      </c>
      <c r="BZ23" s="49">
        <f t="shared" si="17"/>
        <v>0</v>
      </c>
      <c r="CA23" s="67"/>
      <c r="CB23" s="136">
        <f t="shared" si="44"/>
        <v>0</v>
      </c>
      <c r="CC23" s="137">
        <f t="shared" si="45"/>
        <v>0</v>
      </c>
      <c r="CD23" s="137">
        <f>BG23/((1+tab!$D$20)^2.5)</f>
        <v>0</v>
      </c>
      <c r="CE23" s="137">
        <f>BH23/((1+tab!$D$20)^6.5)</f>
        <v>0</v>
      </c>
      <c r="CF23" s="77"/>
    </row>
    <row r="24" spans="2:84" x14ac:dyDescent="0.2">
      <c r="B24" s="67"/>
      <c r="C24" s="47"/>
      <c r="D24" s="35"/>
      <c r="E24" s="36"/>
      <c r="F24" s="154" t="str">
        <f>IF(E24="","",E24+(tab!$D$17*365.25))</f>
        <v/>
      </c>
      <c r="G24" s="155">
        <f>ROUND(IF(E24="",0,(F24-I24)/tab!$D$11),0)</f>
        <v>0</v>
      </c>
      <c r="H24" s="37"/>
      <c r="I24" s="37"/>
      <c r="J24" s="38"/>
      <c r="K24" s="52"/>
      <c r="L24" s="94">
        <f>IF(K24/tab!$D$10/12&gt;tab!$D$12,tab!$D$12,K24/tab!$D$10/12)</f>
        <v>0</v>
      </c>
      <c r="M24" s="95">
        <f>ROUND(L24*tab!$D$10,0)</f>
        <v>0</v>
      </c>
      <c r="N24" s="95">
        <f t="shared" si="18"/>
        <v>0</v>
      </c>
      <c r="O24" s="95">
        <f t="shared" si="19"/>
        <v>0</v>
      </c>
      <c r="P24" s="96">
        <f t="shared" si="20"/>
        <v>0</v>
      </c>
      <c r="Q24" s="96">
        <f t="shared" si="21"/>
        <v>0</v>
      </c>
      <c r="R24" s="96">
        <f t="shared" si="22"/>
        <v>0</v>
      </c>
      <c r="S24" s="97">
        <f t="shared" si="23"/>
        <v>0</v>
      </c>
      <c r="T24" s="98">
        <f t="shared" si="24"/>
        <v>0</v>
      </c>
      <c r="U24" s="93">
        <f>(T24-I24)/tab!$D$11</f>
        <v>0</v>
      </c>
      <c r="V24" s="39">
        <f>((2*N24)+((S24-2)*O24))*(1+tab!$D$15)*(1+tab!$D$16)</f>
        <v>0</v>
      </c>
      <c r="W24" s="40">
        <f t="shared" si="25"/>
        <v>0</v>
      </c>
      <c r="X24" s="99">
        <f t="shared" si="26"/>
        <v>0</v>
      </c>
      <c r="Y24" s="39">
        <f>(IF(S24&lt;6,(S24-2)*(N24-O24),(W24*(N24-O24)))*(1+tab!$D$15)*(1+tab!$D$16))</f>
        <v>0</v>
      </c>
      <c r="Z24" s="127" t="s">
        <v>96</v>
      </c>
      <c r="AA24" s="58">
        <f t="shared" si="27"/>
        <v>0</v>
      </c>
      <c r="AB24" s="98">
        <f t="shared" si="28"/>
        <v>0</v>
      </c>
      <c r="AC24" s="39">
        <f>+(AA24*O24)*(1+tab!$D$15)*(1+tab!$D$16)</f>
        <v>0</v>
      </c>
      <c r="AD24" s="94">
        <f>IF(K24/tab!$D$10/12&gt;tab!$D$13,tab!$D$13,K24/tab!$D$10/12)</f>
        <v>0</v>
      </c>
      <c r="AE24" s="95">
        <f>ROUND(AD24*tab!$D$10,0)</f>
        <v>0</v>
      </c>
      <c r="AF24" s="95">
        <f t="shared" si="29"/>
        <v>0</v>
      </c>
      <c r="AG24" s="57" t="str">
        <f t="shared" si="30"/>
        <v>nee</v>
      </c>
      <c r="AH24" s="40">
        <v>34</v>
      </c>
      <c r="AI24" s="40">
        <f t="shared" si="31"/>
        <v>0</v>
      </c>
      <c r="AJ24" s="98">
        <f t="shared" si="32"/>
        <v>0</v>
      </c>
      <c r="AK24" s="39">
        <f>+(AI24*AF24)*(1+tab!$D$15)*(1+tab!$D$16)</f>
        <v>0</v>
      </c>
      <c r="AL24" s="57" t="str">
        <f t="shared" si="33"/>
        <v>nee</v>
      </c>
      <c r="AM24" s="50">
        <f t="shared" si="34"/>
        <v>0</v>
      </c>
      <c r="AN24" s="50" t="str">
        <f t="shared" si="35"/>
        <v/>
      </c>
      <c r="AO24" s="41">
        <f>IF(AE24*0.65&gt;tab!$D$14,tab!$D$14,AE24*0.65)</f>
        <v>0</v>
      </c>
      <c r="AP24" s="48">
        <f t="shared" si="36"/>
        <v>0</v>
      </c>
      <c r="AQ24" s="98">
        <f t="shared" si="37"/>
        <v>0</v>
      </c>
      <c r="AR24" s="39">
        <f>+AP24*AO24*(1+tab!$D$15)*(1+tab!$D$16)</f>
        <v>0</v>
      </c>
      <c r="AS24" s="39">
        <f t="shared" si="38"/>
        <v>0</v>
      </c>
      <c r="AT24" s="100">
        <f>IF(ROUND(IF(I24=0,0,((V$3-I24)/tab!$D$11)),0)&lt;1,0,ROUND(IF(I24=0,0,((V$3-I24)/tab!$D$11)),0))</f>
        <v>0</v>
      </c>
      <c r="AU24" s="41">
        <f t="shared" si="2"/>
        <v>0</v>
      </c>
      <c r="AV24" s="41">
        <f t="shared" si="3"/>
        <v>0</v>
      </c>
      <c r="AW24" s="41">
        <f t="shared" si="4"/>
        <v>0</v>
      </c>
      <c r="AX24" s="41">
        <f t="shared" si="5"/>
        <v>0</v>
      </c>
      <c r="AY24" s="41">
        <f t="shared" si="6"/>
        <v>0</v>
      </c>
      <c r="AZ24" s="39">
        <f t="shared" si="7"/>
        <v>0</v>
      </c>
      <c r="BA24" s="101">
        <f t="shared" si="39"/>
        <v>0</v>
      </c>
      <c r="BB24" s="102">
        <f>IF(J24="ja",tab!$K$3,tab!$K$4)</f>
        <v>0.5</v>
      </c>
      <c r="BC24" s="101">
        <f>IF(J24="ja",tab!$K$3*BA24,tab!$K$4*BA24)</f>
        <v>0</v>
      </c>
      <c r="BD24" s="53"/>
      <c r="BE24" s="103">
        <f t="shared" si="40"/>
        <v>0</v>
      </c>
      <c r="BF24" s="104">
        <f t="shared" si="8"/>
        <v>0</v>
      </c>
      <c r="BG24" s="104">
        <f t="shared" si="9"/>
        <v>0</v>
      </c>
      <c r="BH24" s="104">
        <f t="shared" si="41"/>
        <v>0</v>
      </c>
      <c r="BI24" s="77"/>
      <c r="BJ24" s="59"/>
      <c r="BK24" s="59"/>
      <c r="BL24" s="49">
        <f t="shared" si="10"/>
        <v>0</v>
      </c>
      <c r="BM24" s="49"/>
      <c r="BN24" s="49">
        <f t="shared" si="11"/>
        <v>0</v>
      </c>
      <c r="BO24" s="49">
        <f t="shared" si="12"/>
        <v>0</v>
      </c>
      <c r="BP24" s="49">
        <f t="shared" si="13"/>
        <v>0</v>
      </c>
      <c r="BQ24" s="49">
        <f t="shared" si="42"/>
        <v>0</v>
      </c>
      <c r="BR24" s="49">
        <f t="shared" si="14"/>
        <v>0</v>
      </c>
      <c r="BS24" s="84"/>
      <c r="BT24" s="49"/>
      <c r="BU24" s="49"/>
      <c r="BV24" s="49"/>
      <c r="BW24" s="49">
        <f t="shared" si="15"/>
        <v>0</v>
      </c>
      <c r="BX24" s="49">
        <f t="shared" si="16"/>
        <v>0</v>
      </c>
      <c r="BY24" s="105">
        <f t="shared" si="43"/>
        <v>0</v>
      </c>
      <c r="BZ24" s="49">
        <f t="shared" si="17"/>
        <v>0</v>
      </c>
      <c r="CA24" s="67"/>
      <c r="CB24" s="136">
        <f t="shared" si="44"/>
        <v>0</v>
      </c>
      <c r="CC24" s="137">
        <f t="shared" si="45"/>
        <v>0</v>
      </c>
      <c r="CD24" s="137">
        <f>BG24/((1+tab!$D$20)^2.5)</f>
        <v>0</v>
      </c>
      <c r="CE24" s="137">
        <f>BH24/((1+tab!$D$20)^6.5)</f>
        <v>0</v>
      </c>
      <c r="CF24" s="77"/>
    </row>
    <row r="25" spans="2:84" x14ac:dyDescent="0.2">
      <c r="B25" s="67"/>
      <c r="C25" s="47"/>
      <c r="D25" s="35"/>
      <c r="E25" s="36"/>
      <c r="F25" s="154" t="str">
        <f>IF(E25="","",E25+(tab!$D$17*365.25))</f>
        <v/>
      </c>
      <c r="G25" s="155">
        <f>ROUND(IF(E25="",0,(F25-I25)/tab!$D$11),0)</f>
        <v>0</v>
      </c>
      <c r="H25" s="37"/>
      <c r="I25" s="37"/>
      <c r="J25" s="38"/>
      <c r="K25" s="52"/>
      <c r="L25" s="94">
        <f>IF(K25/tab!$D$10/12&gt;tab!$D$12,tab!$D$12,K25/tab!$D$10/12)</f>
        <v>0</v>
      </c>
      <c r="M25" s="95">
        <f>ROUND(L25*tab!$D$10,0)</f>
        <v>0</v>
      </c>
      <c r="N25" s="95">
        <f t="shared" si="18"/>
        <v>0</v>
      </c>
      <c r="O25" s="95">
        <f t="shared" si="19"/>
        <v>0</v>
      </c>
      <c r="P25" s="96">
        <f t="shared" si="20"/>
        <v>0</v>
      </c>
      <c r="Q25" s="96">
        <f t="shared" si="21"/>
        <v>0</v>
      </c>
      <c r="R25" s="96">
        <f t="shared" si="22"/>
        <v>0</v>
      </c>
      <c r="S25" s="97">
        <f t="shared" si="23"/>
        <v>0</v>
      </c>
      <c r="T25" s="98">
        <f t="shared" si="24"/>
        <v>0</v>
      </c>
      <c r="U25" s="93">
        <f>(T25-I25)/tab!$D$11</f>
        <v>0</v>
      </c>
      <c r="V25" s="39">
        <f>((2*N25)+((S25-2)*O25))*(1+tab!$D$15)*(1+tab!$D$16)</f>
        <v>0</v>
      </c>
      <c r="W25" s="40">
        <f t="shared" si="25"/>
        <v>0</v>
      </c>
      <c r="X25" s="99">
        <f t="shared" si="26"/>
        <v>0</v>
      </c>
      <c r="Y25" s="39">
        <f>(IF(S25&lt;6,(S25-2)*(N25-O25),(W25*(N25-O25)))*(1+tab!$D$15)*(1+tab!$D$16))</f>
        <v>0</v>
      </c>
      <c r="Z25" s="127" t="s">
        <v>96</v>
      </c>
      <c r="AA25" s="58">
        <f t="shared" si="27"/>
        <v>0</v>
      </c>
      <c r="AB25" s="98">
        <f t="shared" si="28"/>
        <v>0</v>
      </c>
      <c r="AC25" s="39">
        <f>+(AA25*O25)*(1+tab!$D$15)*(1+tab!$D$16)</f>
        <v>0</v>
      </c>
      <c r="AD25" s="94">
        <f>IF(K25/tab!$D$10/12&gt;tab!$D$13,tab!$D$13,K25/tab!$D$10/12)</f>
        <v>0</v>
      </c>
      <c r="AE25" s="95">
        <f>ROUND(AD25*tab!$D$10,0)</f>
        <v>0</v>
      </c>
      <c r="AF25" s="95">
        <f t="shared" si="29"/>
        <v>0</v>
      </c>
      <c r="AG25" s="57" t="str">
        <f t="shared" si="30"/>
        <v>nee</v>
      </c>
      <c r="AH25" s="40">
        <v>34</v>
      </c>
      <c r="AI25" s="40">
        <f t="shared" si="31"/>
        <v>0</v>
      </c>
      <c r="AJ25" s="98">
        <f t="shared" si="32"/>
        <v>0</v>
      </c>
      <c r="AK25" s="39">
        <f>+(AI25*AF25)*(1+tab!$D$15)*(1+tab!$D$16)</f>
        <v>0</v>
      </c>
      <c r="AL25" s="57" t="str">
        <f t="shared" si="33"/>
        <v>nee</v>
      </c>
      <c r="AM25" s="50">
        <f t="shared" si="34"/>
        <v>0</v>
      </c>
      <c r="AN25" s="50" t="str">
        <f t="shared" si="35"/>
        <v/>
      </c>
      <c r="AO25" s="41">
        <f>IF(AE25*0.65&gt;tab!$D$14,tab!$D$14,AE25*0.65)</f>
        <v>0</v>
      </c>
      <c r="AP25" s="48">
        <f t="shared" si="36"/>
        <v>0</v>
      </c>
      <c r="AQ25" s="98">
        <f t="shared" si="37"/>
        <v>0</v>
      </c>
      <c r="AR25" s="39">
        <f>+AP25*AO25*(1+tab!$D$15)*(1+tab!$D$16)</f>
        <v>0</v>
      </c>
      <c r="AS25" s="39">
        <f t="shared" si="38"/>
        <v>0</v>
      </c>
      <c r="AT25" s="100">
        <f>IF(ROUND(IF(I25=0,0,((V$3-I25)/tab!$D$11)),0)&lt;1,0,ROUND(IF(I25=0,0,((V$3-I25)/tab!$D$11)),0))</f>
        <v>0</v>
      </c>
      <c r="AU25" s="41">
        <f t="shared" si="2"/>
        <v>0</v>
      </c>
      <c r="AV25" s="41">
        <f t="shared" si="3"/>
        <v>0</v>
      </c>
      <c r="AW25" s="41">
        <f t="shared" si="4"/>
        <v>0</v>
      </c>
      <c r="AX25" s="41">
        <f t="shared" si="5"/>
        <v>0</v>
      </c>
      <c r="AY25" s="41">
        <f t="shared" si="6"/>
        <v>0</v>
      </c>
      <c r="AZ25" s="39">
        <f t="shared" si="7"/>
        <v>0</v>
      </c>
      <c r="BA25" s="101">
        <f t="shared" si="39"/>
        <v>0</v>
      </c>
      <c r="BB25" s="102">
        <f>IF(J25="ja",tab!$K$3,tab!$K$4)</f>
        <v>0.5</v>
      </c>
      <c r="BC25" s="101">
        <f>IF(J25="ja",tab!$K$3*BA25,tab!$K$4*BA25)</f>
        <v>0</v>
      </c>
      <c r="BD25" s="53"/>
      <c r="BE25" s="103">
        <f t="shared" si="40"/>
        <v>0</v>
      </c>
      <c r="BF25" s="104">
        <f t="shared" si="8"/>
        <v>0</v>
      </c>
      <c r="BG25" s="104">
        <f t="shared" si="9"/>
        <v>0</v>
      </c>
      <c r="BH25" s="104">
        <f t="shared" si="41"/>
        <v>0</v>
      </c>
      <c r="BI25" s="77"/>
      <c r="BJ25" s="59"/>
      <c r="BK25" s="59"/>
      <c r="BL25" s="49">
        <f t="shared" si="10"/>
        <v>0</v>
      </c>
      <c r="BM25" s="49"/>
      <c r="BN25" s="49">
        <f t="shared" si="11"/>
        <v>0</v>
      </c>
      <c r="BO25" s="49">
        <f t="shared" si="12"/>
        <v>0</v>
      </c>
      <c r="BP25" s="49">
        <f t="shared" si="13"/>
        <v>0</v>
      </c>
      <c r="BQ25" s="49">
        <f t="shared" si="42"/>
        <v>0</v>
      </c>
      <c r="BR25" s="49">
        <f t="shared" si="14"/>
        <v>0</v>
      </c>
      <c r="BS25" s="84"/>
      <c r="BT25" s="49"/>
      <c r="BU25" s="49"/>
      <c r="BV25" s="49"/>
      <c r="BW25" s="49">
        <f t="shared" si="15"/>
        <v>0</v>
      </c>
      <c r="BX25" s="49">
        <f t="shared" si="16"/>
        <v>0</v>
      </c>
      <c r="BY25" s="105">
        <f t="shared" si="43"/>
        <v>0</v>
      </c>
      <c r="BZ25" s="49">
        <f t="shared" si="17"/>
        <v>0</v>
      </c>
      <c r="CA25" s="67"/>
      <c r="CB25" s="136">
        <f t="shared" si="44"/>
        <v>0</v>
      </c>
      <c r="CC25" s="137">
        <f t="shared" si="45"/>
        <v>0</v>
      </c>
      <c r="CD25" s="137">
        <f>BG25/((1+tab!$D$20)^2.5)</f>
        <v>0</v>
      </c>
      <c r="CE25" s="137">
        <f>BH25/((1+tab!$D$20)^6.5)</f>
        <v>0</v>
      </c>
      <c r="CF25" s="77"/>
    </row>
    <row r="26" spans="2:84" x14ac:dyDescent="0.2">
      <c r="B26" s="67"/>
      <c r="C26" s="47"/>
      <c r="D26" s="35"/>
      <c r="E26" s="36"/>
      <c r="F26" s="154" t="str">
        <f>IF(E26="","",E26+(tab!$D$17*365.25))</f>
        <v/>
      </c>
      <c r="G26" s="155">
        <f>ROUND(IF(E26="",0,(F26-I26)/tab!$D$11),0)</f>
        <v>0</v>
      </c>
      <c r="H26" s="37"/>
      <c r="I26" s="37"/>
      <c r="J26" s="38"/>
      <c r="K26" s="52"/>
      <c r="L26" s="94">
        <f>IF(K26/tab!$D$10/12&gt;tab!$D$12,tab!$D$12,K26/tab!$D$10/12)</f>
        <v>0</v>
      </c>
      <c r="M26" s="95">
        <f>ROUND(L26*tab!$D$10,0)</f>
        <v>0</v>
      </c>
      <c r="N26" s="95">
        <f t="shared" si="18"/>
        <v>0</v>
      </c>
      <c r="O26" s="95">
        <f t="shared" si="19"/>
        <v>0</v>
      </c>
      <c r="P26" s="96">
        <f t="shared" si="20"/>
        <v>0</v>
      </c>
      <c r="Q26" s="96">
        <f t="shared" si="21"/>
        <v>0</v>
      </c>
      <c r="R26" s="96">
        <f t="shared" si="22"/>
        <v>0</v>
      </c>
      <c r="S26" s="97">
        <f t="shared" si="23"/>
        <v>0</v>
      </c>
      <c r="T26" s="98">
        <f t="shared" si="24"/>
        <v>0</v>
      </c>
      <c r="U26" s="93">
        <f>(T26-I26)/tab!$D$11</f>
        <v>0</v>
      </c>
      <c r="V26" s="39">
        <f>((2*N26)+((S26-2)*O26))*(1+tab!$D$15)*(1+tab!$D$16)</f>
        <v>0</v>
      </c>
      <c r="W26" s="40">
        <f t="shared" si="25"/>
        <v>0</v>
      </c>
      <c r="X26" s="99">
        <f t="shared" si="26"/>
        <v>0</v>
      </c>
      <c r="Y26" s="39">
        <f>(IF(S26&lt;6,(S26-2)*(N26-O26),(W26*(N26-O26)))*(1+tab!$D$15)*(1+tab!$D$16))</f>
        <v>0</v>
      </c>
      <c r="Z26" s="127" t="s">
        <v>96</v>
      </c>
      <c r="AA26" s="58">
        <f t="shared" si="27"/>
        <v>0</v>
      </c>
      <c r="AB26" s="98">
        <f t="shared" si="28"/>
        <v>0</v>
      </c>
      <c r="AC26" s="39">
        <f>+(AA26*O26)*(1+tab!$D$15)*(1+tab!$D$16)</f>
        <v>0</v>
      </c>
      <c r="AD26" s="94">
        <f>IF(K26/tab!$D$10/12&gt;tab!$D$13,tab!$D$13,K26/tab!$D$10/12)</f>
        <v>0</v>
      </c>
      <c r="AE26" s="95">
        <f>ROUND(AD26*tab!$D$10,0)</f>
        <v>0</v>
      </c>
      <c r="AF26" s="95">
        <f t="shared" si="29"/>
        <v>0</v>
      </c>
      <c r="AG26" s="57" t="str">
        <f t="shared" si="30"/>
        <v>nee</v>
      </c>
      <c r="AH26" s="40">
        <v>34</v>
      </c>
      <c r="AI26" s="40">
        <f t="shared" si="31"/>
        <v>0</v>
      </c>
      <c r="AJ26" s="98">
        <f t="shared" si="32"/>
        <v>0</v>
      </c>
      <c r="AK26" s="39">
        <f>+(AI26*AF26)*(1+tab!$D$15)*(1+tab!$D$16)</f>
        <v>0</v>
      </c>
      <c r="AL26" s="57" t="str">
        <f t="shared" si="33"/>
        <v>nee</v>
      </c>
      <c r="AM26" s="50">
        <f t="shared" si="34"/>
        <v>0</v>
      </c>
      <c r="AN26" s="50" t="str">
        <f t="shared" si="35"/>
        <v/>
      </c>
      <c r="AO26" s="41">
        <f>IF(AE26*0.65&gt;tab!$D$14,tab!$D$14,AE26*0.65)</f>
        <v>0</v>
      </c>
      <c r="AP26" s="48">
        <f t="shared" si="36"/>
        <v>0</v>
      </c>
      <c r="AQ26" s="98">
        <f t="shared" si="37"/>
        <v>0</v>
      </c>
      <c r="AR26" s="39">
        <f>+AP26*AO26*(1+tab!$D$15)*(1+tab!$D$16)</f>
        <v>0</v>
      </c>
      <c r="AS26" s="39">
        <f t="shared" si="38"/>
        <v>0</v>
      </c>
      <c r="AT26" s="100">
        <f>IF(ROUND(IF(I26=0,0,((V$3-I26)/tab!$D$11)),0)&lt;1,0,ROUND(IF(I26=0,0,((V$3-I26)/tab!$D$11)),0))</f>
        <v>0</v>
      </c>
      <c r="AU26" s="41">
        <f t="shared" si="2"/>
        <v>0</v>
      </c>
      <c r="AV26" s="41">
        <f t="shared" si="3"/>
        <v>0</v>
      </c>
      <c r="AW26" s="41">
        <f t="shared" si="4"/>
        <v>0</v>
      </c>
      <c r="AX26" s="41">
        <f t="shared" si="5"/>
        <v>0</v>
      </c>
      <c r="AY26" s="41">
        <f t="shared" si="6"/>
        <v>0</v>
      </c>
      <c r="AZ26" s="39">
        <f t="shared" si="7"/>
        <v>0</v>
      </c>
      <c r="BA26" s="101">
        <f t="shared" si="39"/>
        <v>0</v>
      </c>
      <c r="BB26" s="102">
        <f>IF(J26="ja",tab!$K$3,tab!$K$4)</f>
        <v>0.5</v>
      </c>
      <c r="BC26" s="101">
        <f>IF(J26="ja",tab!$K$3*BA26,tab!$K$4*BA26)</f>
        <v>0</v>
      </c>
      <c r="BD26" s="53"/>
      <c r="BE26" s="103">
        <f t="shared" si="40"/>
        <v>0</v>
      </c>
      <c r="BF26" s="104">
        <f t="shared" si="8"/>
        <v>0</v>
      </c>
      <c r="BG26" s="104">
        <f t="shared" si="9"/>
        <v>0</v>
      </c>
      <c r="BH26" s="104">
        <f t="shared" si="41"/>
        <v>0</v>
      </c>
      <c r="BI26" s="77"/>
      <c r="BJ26" s="59"/>
      <c r="BK26" s="59"/>
      <c r="BL26" s="49">
        <f t="shared" si="10"/>
        <v>0</v>
      </c>
      <c r="BM26" s="49"/>
      <c r="BN26" s="49">
        <f t="shared" si="11"/>
        <v>0</v>
      </c>
      <c r="BO26" s="49">
        <f t="shared" si="12"/>
        <v>0</v>
      </c>
      <c r="BP26" s="49">
        <f t="shared" si="13"/>
        <v>0</v>
      </c>
      <c r="BQ26" s="49">
        <f t="shared" si="42"/>
        <v>0</v>
      </c>
      <c r="BR26" s="49">
        <f t="shared" si="14"/>
        <v>0</v>
      </c>
      <c r="BS26" s="84"/>
      <c r="BT26" s="49"/>
      <c r="BU26" s="49"/>
      <c r="BV26" s="49"/>
      <c r="BW26" s="49">
        <f t="shared" si="15"/>
        <v>0</v>
      </c>
      <c r="BX26" s="49">
        <f t="shared" si="16"/>
        <v>0</v>
      </c>
      <c r="BY26" s="105">
        <f t="shared" si="43"/>
        <v>0</v>
      </c>
      <c r="BZ26" s="49">
        <f t="shared" si="17"/>
        <v>0</v>
      </c>
      <c r="CA26" s="67"/>
      <c r="CB26" s="136">
        <f t="shared" si="44"/>
        <v>0</v>
      </c>
      <c r="CC26" s="137">
        <f t="shared" si="45"/>
        <v>0</v>
      </c>
      <c r="CD26" s="137">
        <f>BG26/((1+tab!$D$20)^2.5)</f>
        <v>0</v>
      </c>
      <c r="CE26" s="137">
        <f>BH26/((1+tab!$D$20)^6.5)</f>
        <v>0</v>
      </c>
      <c r="CF26" s="77"/>
    </row>
    <row r="27" spans="2:84" x14ac:dyDescent="0.2">
      <c r="B27" s="67"/>
      <c r="C27" s="47"/>
      <c r="D27" s="35"/>
      <c r="E27" s="36"/>
      <c r="F27" s="154" t="str">
        <f>IF(E27="","",E27+(tab!$D$17*365.25))</f>
        <v/>
      </c>
      <c r="G27" s="155">
        <f>ROUND(IF(E27="",0,(F27-I27)/tab!$D$11),0)</f>
        <v>0</v>
      </c>
      <c r="H27" s="37"/>
      <c r="I27" s="37"/>
      <c r="J27" s="38"/>
      <c r="K27" s="52"/>
      <c r="L27" s="94">
        <f>IF(K27/tab!$D$10/12&gt;tab!$D$12,tab!$D$12,K27/tab!$D$10/12)</f>
        <v>0</v>
      </c>
      <c r="M27" s="95">
        <f>ROUND(L27*tab!$D$10,0)</f>
        <v>0</v>
      </c>
      <c r="N27" s="95">
        <f t="shared" si="18"/>
        <v>0</v>
      </c>
      <c r="O27" s="95">
        <f t="shared" si="19"/>
        <v>0</v>
      </c>
      <c r="P27" s="96">
        <f t="shared" si="20"/>
        <v>0</v>
      </c>
      <c r="Q27" s="96">
        <f t="shared" si="21"/>
        <v>0</v>
      </c>
      <c r="R27" s="96">
        <f t="shared" si="22"/>
        <v>0</v>
      </c>
      <c r="S27" s="97">
        <f t="shared" si="23"/>
        <v>0</v>
      </c>
      <c r="T27" s="98">
        <f t="shared" si="24"/>
        <v>0</v>
      </c>
      <c r="U27" s="93">
        <f>(T27-I27)/tab!$D$11</f>
        <v>0</v>
      </c>
      <c r="V27" s="39">
        <f>((2*N27)+((S27-2)*O27))*(1+tab!$D$15)*(1+tab!$D$16)</f>
        <v>0</v>
      </c>
      <c r="W27" s="40">
        <f t="shared" si="25"/>
        <v>0</v>
      </c>
      <c r="X27" s="99">
        <f t="shared" si="26"/>
        <v>0</v>
      </c>
      <c r="Y27" s="39">
        <f>(IF(S27&lt;6,(S27-2)*(N27-O27),(W27*(N27-O27)))*(1+tab!$D$15)*(1+tab!$D$16))</f>
        <v>0</v>
      </c>
      <c r="Z27" s="127" t="s">
        <v>96</v>
      </c>
      <c r="AA27" s="58">
        <f t="shared" si="27"/>
        <v>0</v>
      </c>
      <c r="AB27" s="98">
        <f t="shared" si="28"/>
        <v>0</v>
      </c>
      <c r="AC27" s="39">
        <f>+(AA27*O27)*(1+tab!$D$15)*(1+tab!$D$16)</f>
        <v>0</v>
      </c>
      <c r="AD27" s="94">
        <f>IF(K27/tab!$D$10/12&gt;tab!$D$13,tab!$D$13,K27/tab!$D$10/12)</f>
        <v>0</v>
      </c>
      <c r="AE27" s="95">
        <f>ROUND(AD27*tab!$D$10,0)</f>
        <v>0</v>
      </c>
      <c r="AF27" s="95">
        <f t="shared" si="29"/>
        <v>0</v>
      </c>
      <c r="AG27" s="57" t="str">
        <f t="shared" si="30"/>
        <v>nee</v>
      </c>
      <c r="AH27" s="40">
        <v>34</v>
      </c>
      <c r="AI27" s="40">
        <f t="shared" si="31"/>
        <v>0</v>
      </c>
      <c r="AJ27" s="98">
        <f t="shared" si="32"/>
        <v>0</v>
      </c>
      <c r="AK27" s="39">
        <f>+(AI27*AF27)*(1+tab!$D$15)*(1+tab!$D$16)</f>
        <v>0</v>
      </c>
      <c r="AL27" s="57" t="str">
        <f t="shared" si="33"/>
        <v>nee</v>
      </c>
      <c r="AM27" s="50">
        <f t="shared" si="34"/>
        <v>0</v>
      </c>
      <c r="AN27" s="50" t="str">
        <f t="shared" si="35"/>
        <v/>
      </c>
      <c r="AO27" s="41">
        <f>IF(AE27*0.65&gt;tab!$D$14,tab!$D$14,AE27*0.65)</f>
        <v>0</v>
      </c>
      <c r="AP27" s="48">
        <f t="shared" si="36"/>
        <v>0</v>
      </c>
      <c r="AQ27" s="98">
        <f t="shared" si="37"/>
        <v>0</v>
      </c>
      <c r="AR27" s="39">
        <f>+AP27*AO27*(1+tab!$D$15)*(1+tab!$D$16)</f>
        <v>0</v>
      </c>
      <c r="AS27" s="39">
        <f t="shared" si="38"/>
        <v>0</v>
      </c>
      <c r="AT27" s="100">
        <f>IF(ROUND(IF(I27=0,0,((V$3-I27)/tab!$D$11)),0)&lt;1,0,ROUND(IF(I27=0,0,((V$3-I27)/tab!$D$11)),0))</f>
        <v>0</v>
      </c>
      <c r="AU27" s="41">
        <f t="shared" si="2"/>
        <v>0</v>
      </c>
      <c r="AV27" s="41">
        <f t="shared" si="3"/>
        <v>0</v>
      </c>
      <c r="AW27" s="41">
        <f t="shared" si="4"/>
        <v>0</v>
      </c>
      <c r="AX27" s="41">
        <f t="shared" si="5"/>
        <v>0</v>
      </c>
      <c r="AY27" s="41">
        <f t="shared" si="6"/>
        <v>0</v>
      </c>
      <c r="AZ27" s="39">
        <f t="shared" si="7"/>
        <v>0</v>
      </c>
      <c r="BA27" s="101">
        <f t="shared" si="39"/>
        <v>0</v>
      </c>
      <c r="BB27" s="102">
        <f>IF(J27="ja",tab!$K$3,tab!$K$4)</f>
        <v>0.5</v>
      </c>
      <c r="BC27" s="101">
        <f>IF(J27="ja",tab!$K$3*BA27,tab!$K$4*BA27)</f>
        <v>0</v>
      </c>
      <c r="BD27" s="53"/>
      <c r="BE27" s="103">
        <f t="shared" si="40"/>
        <v>0</v>
      </c>
      <c r="BF27" s="104">
        <f t="shared" si="8"/>
        <v>0</v>
      </c>
      <c r="BG27" s="104">
        <f t="shared" si="9"/>
        <v>0</v>
      </c>
      <c r="BH27" s="104">
        <f t="shared" si="41"/>
        <v>0</v>
      </c>
      <c r="BI27" s="77"/>
      <c r="BJ27" s="59"/>
      <c r="BK27" s="59"/>
      <c r="BL27" s="49">
        <f t="shared" si="10"/>
        <v>0</v>
      </c>
      <c r="BM27" s="49"/>
      <c r="BN27" s="49">
        <f t="shared" si="11"/>
        <v>0</v>
      </c>
      <c r="BO27" s="49">
        <f t="shared" si="12"/>
        <v>0</v>
      </c>
      <c r="BP27" s="49">
        <f t="shared" si="13"/>
        <v>0</v>
      </c>
      <c r="BQ27" s="49">
        <f t="shared" si="42"/>
        <v>0</v>
      </c>
      <c r="BR27" s="49">
        <f t="shared" si="14"/>
        <v>0</v>
      </c>
      <c r="BS27" s="84"/>
      <c r="BT27" s="49"/>
      <c r="BU27" s="49"/>
      <c r="BV27" s="49"/>
      <c r="BW27" s="49">
        <f t="shared" si="15"/>
        <v>0</v>
      </c>
      <c r="BX27" s="49">
        <f t="shared" si="16"/>
        <v>0</v>
      </c>
      <c r="BY27" s="105">
        <f t="shared" si="43"/>
        <v>0</v>
      </c>
      <c r="BZ27" s="49">
        <f t="shared" si="17"/>
        <v>0</v>
      </c>
      <c r="CA27" s="67"/>
      <c r="CB27" s="136">
        <f t="shared" si="44"/>
        <v>0</v>
      </c>
      <c r="CC27" s="137">
        <f t="shared" si="45"/>
        <v>0</v>
      </c>
      <c r="CD27" s="137">
        <f>BG27/((1+tab!$D$20)^2.5)</f>
        <v>0</v>
      </c>
      <c r="CE27" s="137">
        <f>BH27/((1+tab!$D$20)^6.5)</f>
        <v>0</v>
      </c>
      <c r="CF27" s="77"/>
    </row>
    <row r="28" spans="2:84" x14ac:dyDescent="0.2">
      <c r="B28" s="67"/>
      <c r="C28" s="47"/>
      <c r="D28" s="35"/>
      <c r="E28" s="36"/>
      <c r="F28" s="154" t="str">
        <f>IF(E28="","",E28+(tab!$D$17*365.25))</f>
        <v/>
      </c>
      <c r="G28" s="155">
        <f>ROUND(IF(E28="",0,(F28-I28)/tab!$D$11),0)</f>
        <v>0</v>
      </c>
      <c r="H28" s="37"/>
      <c r="I28" s="37"/>
      <c r="J28" s="38"/>
      <c r="K28" s="52"/>
      <c r="L28" s="94">
        <f>IF(K28/tab!$D$10/12&gt;tab!$D$12,tab!$D$12,K28/tab!$D$10/12)</f>
        <v>0</v>
      </c>
      <c r="M28" s="95">
        <f>ROUND(L28*tab!$D$10,0)</f>
        <v>0</v>
      </c>
      <c r="N28" s="95">
        <f t="shared" si="18"/>
        <v>0</v>
      </c>
      <c r="O28" s="95">
        <f t="shared" si="19"/>
        <v>0</v>
      </c>
      <c r="P28" s="96">
        <f t="shared" si="20"/>
        <v>0</v>
      </c>
      <c r="Q28" s="96">
        <f t="shared" si="21"/>
        <v>0</v>
      </c>
      <c r="R28" s="96">
        <f t="shared" si="22"/>
        <v>0</v>
      </c>
      <c r="S28" s="97">
        <f t="shared" si="23"/>
        <v>0</v>
      </c>
      <c r="T28" s="98">
        <f t="shared" si="24"/>
        <v>0</v>
      </c>
      <c r="U28" s="93">
        <f>(T28-I28)/tab!$D$11</f>
        <v>0</v>
      </c>
      <c r="V28" s="39">
        <f>((2*N28)+((S28-2)*O28))*(1+tab!$D$15)*(1+tab!$D$16)</f>
        <v>0</v>
      </c>
      <c r="W28" s="40">
        <f t="shared" si="25"/>
        <v>0</v>
      </c>
      <c r="X28" s="99">
        <f t="shared" si="26"/>
        <v>0</v>
      </c>
      <c r="Y28" s="39">
        <f>(IF(S28&lt;6,(S28-2)*(N28-O28),(W28*(N28-O28)))*(1+tab!$D$15)*(1+tab!$D$16))</f>
        <v>0</v>
      </c>
      <c r="Z28" s="127" t="s">
        <v>96</v>
      </c>
      <c r="AA28" s="58">
        <f t="shared" si="27"/>
        <v>0</v>
      </c>
      <c r="AB28" s="98">
        <f t="shared" si="28"/>
        <v>0</v>
      </c>
      <c r="AC28" s="39">
        <f>+(AA28*O28)*(1+tab!$D$15)*(1+tab!$D$16)</f>
        <v>0</v>
      </c>
      <c r="AD28" s="94">
        <f>IF(K28/tab!$D$10/12&gt;tab!$D$13,tab!$D$13,K28/tab!$D$10/12)</f>
        <v>0</v>
      </c>
      <c r="AE28" s="95">
        <f>ROUND(AD28*tab!$D$10,0)</f>
        <v>0</v>
      </c>
      <c r="AF28" s="95">
        <f t="shared" si="29"/>
        <v>0</v>
      </c>
      <c r="AG28" s="57" t="str">
        <f t="shared" si="30"/>
        <v>nee</v>
      </c>
      <c r="AH28" s="40">
        <v>34</v>
      </c>
      <c r="AI28" s="40">
        <f t="shared" si="31"/>
        <v>0</v>
      </c>
      <c r="AJ28" s="98">
        <f t="shared" si="32"/>
        <v>0</v>
      </c>
      <c r="AK28" s="39">
        <f>+(AI28*AF28)*(1+tab!$D$15)*(1+tab!$D$16)</f>
        <v>0</v>
      </c>
      <c r="AL28" s="57" t="str">
        <f t="shared" si="33"/>
        <v>nee</v>
      </c>
      <c r="AM28" s="50">
        <f t="shared" si="34"/>
        <v>0</v>
      </c>
      <c r="AN28" s="50" t="str">
        <f t="shared" si="35"/>
        <v/>
      </c>
      <c r="AO28" s="41">
        <f>IF(AE28*0.65&gt;tab!$D$14,tab!$D$14,AE28*0.65)</f>
        <v>0</v>
      </c>
      <c r="AP28" s="48">
        <f t="shared" si="36"/>
        <v>0</v>
      </c>
      <c r="AQ28" s="98">
        <f t="shared" si="37"/>
        <v>0</v>
      </c>
      <c r="AR28" s="39">
        <f>+AP28*AO28*(1+tab!$D$15)*(1+tab!$D$16)</f>
        <v>0</v>
      </c>
      <c r="AS28" s="39">
        <f t="shared" si="38"/>
        <v>0</v>
      </c>
      <c r="AT28" s="100">
        <f>IF(ROUND(IF(I28=0,0,((V$3-I28)/tab!$D$11)),0)&lt;1,0,ROUND(IF(I28=0,0,((V$3-I28)/tab!$D$11)),0))</f>
        <v>0</v>
      </c>
      <c r="AU28" s="41">
        <f t="shared" si="2"/>
        <v>0</v>
      </c>
      <c r="AV28" s="41">
        <f t="shared" si="3"/>
        <v>0</v>
      </c>
      <c r="AW28" s="41">
        <f t="shared" si="4"/>
        <v>0</v>
      </c>
      <c r="AX28" s="41">
        <f t="shared" si="5"/>
        <v>0</v>
      </c>
      <c r="AY28" s="41">
        <f t="shared" si="6"/>
        <v>0</v>
      </c>
      <c r="AZ28" s="39">
        <f t="shared" si="7"/>
        <v>0</v>
      </c>
      <c r="BA28" s="101">
        <f t="shared" si="39"/>
        <v>0</v>
      </c>
      <c r="BB28" s="102">
        <f>IF(J28="ja",tab!$K$3,tab!$K$4)</f>
        <v>0.5</v>
      </c>
      <c r="BC28" s="101">
        <f>IF(J28="ja",tab!$K$3*BA28,tab!$K$4*BA28)</f>
        <v>0</v>
      </c>
      <c r="BD28" s="53"/>
      <c r="BE28" s="103">
        <f t="shared" si="40"/>
        <v>0</v>
      </c>
      <c r="BF28" s="104">
        <f t="shared" si="8"/>
        <v>0</v>
      </c>
      <c r="BG28" s="104">
        <f t="shared" si="9"/>
        <v>0</v>
      </c>
      <c r="BH28" s="104">
        <f t="shared" si="41"/>
        <v>0</v>
      </c>
      <c r="BI28" s="77"/>
      <c r="BJ28" s="59"/>
      <c r="BK28" s="59"/>
      <c r="BL28" s="49">
        <f t="shared" si="10"/>
        <v>0</v>
      </c>
      <c r="BM28" s="49"/>
      <c r="BN28" s="49">
        <f t="shared" si="11"/>
        <v>0</v>
      </c>
      <c r="BO28" s="49">
        <f t="shared" si="12"/>
        <v>0</v>
      </c>
      <c r="BP28" s="49">
        <f t="shared" si="13"/>
        <v>0</v>
      </c>
      <c r="BQ28" s="49">
        <f t="shared" si="42"/>
        <v>0</v>
      </c>
      <c r="BR28" s="49">
        <f t="shared" si="14"/>
        <v>0</v>
      </c>
      <c r="BS28" s="84"/>
      <c r="BT28" s="49"/>
      <c r="BU28" s="49"/>
      <c r="BV28" s="49"/>
      <c r="BW28" s="49">
        <f t="shared" si="15"/>
        <v>0</v>
      </c>
      <c r="BX28" s="49">
        <f t="shared" si="16"/>
        <v>0</v>
      </c>
      <c r="BY28" s="105">
        <f t="shared" si="43"/>
        <v>0</v>
      </c>
      <c r="BZ28" s="49">
        <f t="shared" si="17"/>
        <v>0</v>
      </c>
      <c r="CA28" s="67"/>
      <c r="CB28" s="136">
        <f t="shared" si="44"/>
        <v>0</v>
      </c>
      <c r="CC28" s="137">
        <f t="shared" si="45"/>
        <v>0</v>
      </c>
      <c r="CD28" s="137">
        <f>BG28/((1+tab!$D$20)^2.5)</f>
        <v>0</v>
      </c>
      <c r="CE28" s="137">
        <f>BH28/((1+tab!$D$20)^6.5)</f>
        <v>0</v>
      </c>
      <c r="CF28" s="77"/>
    </row>
    <row r="29" spans="2:84" x14ac:dyDescent="0.2">
      <c r="B29" s="67"/>
      <c r="C29" s="47"/>
      <c r="D29" s="35"/>
      <c r="E29" s="36"/>
      <c r="F29" s="154" t="str">
        <f>IF(E29="","",E29+(tab!$D$17*365.25))</f>
        <v/>
      </c>
      <c r="G29" s="155">
        <f>ROUND(IF(E29="",0,(F29-I29)/tab!$D$11),0)</f>
        <v>0</v>
      </c>
      <c r="H29" s="37"/>
      <c r="I29" s="37"/>
      <c r="J29" s="38"/>
      <c r="K29" s="52"/>
      <c r="L29" s="94">
        <f>IF(K29/tab!$D$10/12&gt;tab!$D$12,tab!$D$12,K29/tab!$D$10/12)</f>
        <v>0</v>
      </c>
      <c r="M29" s="95">
        <f>ROUND(L29*tab!$D$10,0)</f>
        <v>0</v>
      </c>
      <c r="N29" s="95">
        <f t="shared" si="18"/>
        <v>0</v>
      </c>
      <c r="O29" s="95">
        <f t="shared" si="19"/>
        <v>0</v>
      </c>
      <c r="P29" s="96">
        <f t="shared" si="20"/>
        <v>0</v>
      </c>
      <c r="Q29" s="96">
        <f t="shared" si="21"/>
        <v>0</v>
      </c>
      <c r="R29" s="96">
        <f t="shared" si="22"/>
        <v>0</v>
      </c>
      <c r="S29" s="97">
        <f t="shared" si="23"/>
        <v>0</v>
      </c>
      <c r="T29" s="98">
        <f t="shared" si="24"/>
        <v>0</v>
      </c>
      <c r="U29" s="93">
        <f>(T29-I29)/tab!$D$11</f>
        <v>0</v>
      </c>
      <c r="V29" s="39">
        <f>((2*N29)+((S29-2)*O29))*(1+tab!$D$15)*(1+tab!$D$16)</f>
        <v>0</v>
      </c>
      <c r="W29" s="40">
        <f t="shared" si="25"/>
        <v>0</v>
      </c>
      <c r="X29" s="99">
        <f t="shared" si="26"/>
        <v>0</v>
      </c>
      <c r="Y29" s="39">
        <f>(IF(S29&lt;6,(S29-2)*(N29-O29),(W29*(N29-O29)))*(1+tab!$D$15)*(1+tab!$D$16))</f>
        <v>0</v>
      </c>
      <c r="Z29" s="127" t="s">
        <v>96</v>
      </c>
      <c r="AA29" s="58">
        <f t="shared" si="27"/>
        <v>0</v>
      </c>
      <c r="AB29" s="98">
        <f t="shared" si="28"/>
        <v>0</v>
      </c>
      <c r="AC29" s="39">
        <f>+(AA29*O29)*(1+tab!$D$15)*(1+tab!$D$16)</f>
        <v>0</v>
      </c>
      <c r="AD29" s="94">
        <f>IF(K29/tab!$D$10/12&gt;tab!$D$13,tab!$D$13,K29/tab!$D$10/12)</f>
        <v>0</v>
      </c>
      <c r="AE29" s="95">
        <f>ROUND(AD29*tab!$D$10,0)</f>
        <v>0</v>
      </c>
      <c r="AF29" s="95">
        <f t="shared" si="29"/>
        <v>0</v>
      </c>
      <c r="AG29" s="57" t="str">
        <f t="shared" si="30"/>
        <v>nee</v>
      </c>
      <c r="AH29" s="40">
        <v>34</v>
      </c>
      <c r="AI29" s="40">
        <f t="shared" si="31"/>
        <v>0</v>
      </c>
      <c r="AJ29" s="98">
        <f t="shared" si="32"/>
        <v>0</v>
      </c>
      <c r="AK29" s="39">
        <f>+(AI29*AF29)*(1+tab!$D$15)*(1+tab!$D$16)</f>
        <v>0</v>
      </c>
      <c r="AL29" s="57" t="str">
        <f t="shared" si="33"/>
        <v>nee</v>
      </c>
      <c r="AM29" s="50">
        <f t="shared" si="34"/>
        <v>0</v>
      </c>
      <c r="AN29" s="50" t="str">
        <f t="shared" si="35"/>
        <v/>
      </c>
      <c r="AO29" s="41">
        <f>IF(AE29*0.65&gt;tab!$D$14,tab!$D$14,AE29*0.65)</f>
        <v>0</v>
      </c>
      <c r="AP29" s="48">
        <f t="shared" si="36"/>
        <v>0</v>
      </c>
      <c r="AQ29" s="98">
        <f t="shared" si="37"/>
        <v>0</v>
      </c>
      <c r="AR29" s="39">
        <f>+AP29*AO29*(1+tab!$D$15)*(1+tab!$D$16)</f>
        <v>0</v>
      </c>
      <c r="AS29" s="39">
        <f t="shared" si="38"/>
        <v>0</v>
      </c>
      <c r="AT29" s="100">
        <f>IF(ROUND(IF(I29=0,0,((V$3-I29)/tab!$D$11)),0)&lt;1,0,ROUND(IF(I29=0,0,((V$3-I29)/tab!$D$11)),0))</f>
        <v>0</v>
      </c>
      <c r="AU29" s="41">
        <f t="shared" si="2"/>
        <v>0</v>
      </c>
      <c r="AV29" s="41">
        <f t="shared" si="3"/>
        <v>0</v>
      </c>
      <c r="AW29" s="41">
        <f t="shared" si="4"/>
        <v>0</v>
      </c>
      <c r="AX29" s="41">
        <f t="shared" si="5"/>
        <v>0</v>
      </c>
      <c r="AY29" s="41">
        <f t="shared" si="6"/>
        <v>0</v>
      </c>
      <c r="AZ29" s="39">
        <f t="shared" si="7"/>
        <v>0</v>
      </c>
      <c r="BA29" s="101">
        <f t="shared" si="39"/>
        <v>0</v>
      </c>
      <c r="BB29" s="102">
        <f>IF(J29="ja",tab!$K$3,tab!$K$4)</f>
        <v>0.5</v>
      </c>
      <c r="BC29" s="101">
        <f>IF(J29="ja",tab!$K$3*BA29,tab!$K$4*BA29)</f>
        <v>0</v>
      </c>
      <c r="BD29" s="53"/>
      <c r="BE29" s="103">
        <f t="shared" si="40"/>
        <v>0</v>
      </c>
      <c r="BF29" s="104">
        <f t="shared" si="8"/>
        <v>0</v>
      </c>
      <c r="BG29" s="104">
        <f t="shared" si="9"/>
        <v>0</v>
      </c>
      <c r="BH29" s="104">
        <f t="shared" si="41"/>
        <v>0</v>
      </c>
      <c r="BI29" s="77"/>
      <c r="BJ29" s="59"/>
      <c r="BK29" s="59"/>
      <c r="BL29" s="49">
        <f t="shared" si="10"/>
        <v>0</v>
      </c>
      <c r="BM29" s="49"/>
      <c r="BN29" s="49">
        <f t="shared" si="11"/>
        <v>0</v>
      </c>
      <c r="BO29" s="49">
        <f t="shared" si="12"/>
        <v>0</v>
      </c>
      <c r="BP29" s="49">
        <f t="shared" si="13"/>
        <v>0</v>
      </c>
      <c r="BQ29" s="49">
        <f t="shared" si="42"/>
        <v>0</v>
      </c>
      <c r="BR29" s="49">
        <f t="shared" si="14"/>
        <v>0</v>
      </c>
      <c r="BS29" s="84"/>
      <c r="BT29" s="49"/>
      <c r="BU29" s="49"/>
      <c r="BV29" s="49"/>
      <c r="BW29" s="49">
        <f t="shared" si="15"/>
        <v>0</v>
      </c>
      <c r="BX29" s="49">
        <f t="shared" si="16"/>
        <v>0</v>
      </c>
      <c r="BY29" s="105">
        <f t="shared" si="43"/>
        <v>0</v>
      </c>
      <c r="BZ29" s="49">
        <f t="shared" si="17"/>
        <v>0</v>
      </c>
      <c r="CA29" s="67"/>
      <c r="CB29" s="136">
        <f t="shared" si="44"/>
        <v>0</v>
      </c>
      <c r="CC29" s="137">
        <f t="shared" si="45"/>
        <v>0</v>
      </c>
      <c r="CD29" s="137">
        <f>BG29/((1+tab!$D$20)^2.5)</f>
        <v>0</v>
      </c>
      <c r="CE29" s="137">
        <f>BH29/((1+tab!$D$20)^6.5)</f>
        <v>0</v>
      </c>
      <c r="CF29" s="77"/>
    </row>
    <row r="30" spans="2:84" x14ac:dyDescent="0.2">
      <c r="B30" s="67"/>
      <c r="C30" s="47"/>
      <c r="D30" s="35"/>
      <c r="E30" s="36"/>
      <c r="F30" s="154" t="str">
        <f>IF(E30="","",E30+(tab!$D$17*365.25))</f>
        <v/>
      </c>
      <c r="G30" s="155">
        <f>ROUND(IF(E30="",0,(F30-I30)/tab!$D$11),0)</f>
        <v>0</v>
      </c>
      <c r="H30" s="37"/>
      <c r="I30" s="37"/>
      <c r="J30" s="38"/>
      <c r="K30" s="52"/>
      <c r="L30" s="94">
        <f>IF(K30/tab!$D$10/12&gt;tab!$D$12,tab!$D$12,K30/tab!$D$10/12)</f>
        <v>0</v>
      </c>
      <c r="M30" s="95">
        <f>ROUND(L30*tab!$D$10,0)</f>
        <v>0</v>
      </c>
      <c r="N30" s="95">
        <f t="shared" si="18"/>
        <v>0</v>
      </c>
      <c r="O30" s="95">
        <f t="shared" si="19"/>
        <v>0</v>
      </c>
      <c r="P30" s="96">
        <f t="shared" si="20"/>
        <v>0</v>
      </c>
      <c r="Q30" s="96">
        <f t="shared" si="21"/>
        <v>0</v>
      </c>
      <c r="R30" s="96">
        <f t="shared" si="22"/>
        <v>0</v>
      </c>
      <c r="S30" s="97">
        <f t="shared" si="23"/>
        <v>0</v>
      </c>
      <c r="T30" s="98">
        <f t="shared" si="24"/>
        <v>0</v>
      </c>
      <c r="U30" s="93">
        <f>(T30-I30)/tab!$D$11</f>
        <v>0</v>
      </c>
      <c r="V30" s="39">
        <f>((2*N30)+((S30-2)*O30))*(1+tab!$D$15)*(1+tab!$D$16)</f>
        <v>0</v>
      </c>
      <c r="W30" s="40">
        <f t="shared" si="25"/>
        <v>0</v>
      </c>
      <c r="X30" s="99">
        <f t="shared" si="26"/>
        <v>0</v>
      </c>
      <c r="Y30" s="39">
        <f>(IF(S30&lt;6,(S30-2)*(N30-O30),(W30*(N30-O30)))*(1+tab!$D$15)*(1+tab!$D$16))</f>
        <v>0</v>
      </c>
      <c r="Z30" s="127" t="s">
        <v>96</v>
      </c>
      <c r="AA30" s="58">
        <f t="shared" si="27"/>
        <v>0</v>
      </c>
      <c r="AB30" s="98">
        <f t="shared" si="28"/>
        <v>0</v>
      </c>
      <c r="AC30" s="39">
        <f>+(AA30*O30)*(1+tab!$D$15)*(1+tab!$D$16)</f>
        <v>0</v>
      </c>
      <c r="AD30" s="94">
        <f>IF(K30/tab!$D$10/12&gt;tab!$D$13,tab!$D$13,K30/tab!$D$10/12)</f>
        <v>0</v>
      </c>
      <c r="AE30" s="95">
        <f>ROUND(AD30*tab!$D$10,0)</f>
        <v>0</v>
      </c>
      <c r="AF30" s="95">
        <f t="shared" si="29"/>
        <v>0</v>
      </c>
      <c r="AG30" s="57" t="str">
        <f t="shared" si="30"/>
        <v>nee</v>
      </c>
      <c r="AH30" s="40">
        <v>34</v>
      </c>
      <c r="AI30" s="40">
        <f t="shared" si="31"/>
        <v>0</v>
      </c>
      <c r="AJ30" s="98">
        <f t="shared" si="32"/>
        <v>0</v>
      </c>
      <c r="AK30" s="39">
        <f>+(AI30*AF30)*(1+tab!$D$15)*(1+tab!$D$16)</f>
        <v>0</v>
      </c>
      <c r="AL30" s="57" t="str">
        <f t="shared" si="33"/>
        <v>nee</v>
      </c>
      <c r="AM30" s="50">
        <f t="shared" si="34"/>
        <v>0</v>
      </c>
      <c r="AN30" s="50" t="str">
        <f t="shared" si="35"/>
        <v/>
      </c>
      <c r="AO30" s="41">
        <f>IF(AE30*0.65&gt;tab!$D$14,tab!$D$14,AE30*0.65)</f>
        <v>0</v>
      </c>
      <c r="AP30" s="48">
        <f t="shared" si="36"/>
        <v>0</v>
      </c>
      <c r="AQ30" s="98">
        <f t="shared" si="37"/>
        <v>0</v>
      </c>
      <c r="AR30" s="39">
        <f>+AP30*AO30*(1+tab!$D$15)*(1+tab!$D$16)</f>
        <v>0</v>
      </c>
      <c r="AS30" s="39">
        <f t="shared" si="38"/>
        <v>0</v>
      </c>
      <c r="AT30" s="100">
        <f>IF(ROUND(IF(I30=0,0,((V$3-I30)/tab!$D$11)),0)&lt;1,0,ROUND(IF(I30=0,0,((V$3-I30)/tab!$D$11)),0))</f>
        <v>0</v>
      </c>
      <c r="AU30" s="41">
        <f t="shared" si="2"/>
        <v>0</v>
      </c>
      <c r="AV30" s="41">
        <f t="shared" si="3"/>
        <v>0</v>
      </c>
      <c r="AW30" s="41">
        <f t="shared" si="4"/>
        <v>0</v>
      </c>
      <c r="AX30" s="41">
        <f t="shared" si="5"/>
        <v>0</v>
      </c>
      <c r="AY30" s="41">
        <f t="shared" si="6"/>
        <v>0</v>
      </c>
      <c r="AZ30" s="39">
        <f t="shared" si="7"/>
        <v>0</v>
      </c>
      <c r="BA30" s="101">
        <f t="shared" si="39"/>
        <v>0</v>
      </c>
      <c r="BB30" s="102">
        <f>IF(J30="ja",tab!$K$3,tab!$K$4)</f>
        <v>0.5</v>
      </c>
      <c r="BC30" s="101">
        <f>IF(J30="ja",tab!$K$3*BA30,tab!$K$4*BA30)</f>
        <v>0</v>
      </c>
      <c r="BD30" s="53"/>
      <c r="BE30" s="103">
        <f t="shared" si="40"/>
        <v>0</v>
      </c>
      <c r="BF30" s="104">
        <f t="shared" si="8"/>
        <v>0</v>
      </c>
      <c r="BG30" s="104">
        <f t="shared" si="9"/>
        <v>0</v>
      </c>
      <c r="BH30" s="104">
        <f t="shared" si="41"/>
        <v>0</v>
      </c>
      <c r="BI30" s="77"/>
      <c r="BJ30" s="59"/>
      <c r="BK30" s="59"/>
      <c r="BL30" s="49">
        <f t="shared" si="10"/>
        <v>0</v>
      </c>
      <c r="BM30" s="49"/>
      <c r="BN30" s="49">
        <f t="shared" si="11"/>
        <v>0</v>
      </c>
      <c r="BO30" s="49">
        <f t="shared" si="12"/>
        <v>0</v>
      </c>
      <c r="BP30" s="49">
        <f t="shared" si="13"/>
        <v>0</v>
      </c>
      <c r="BQ30" s="49">
        <f t="shared" si="42"/>
        <v>0</v>
      </c>
      <c r="BR30" s="49">
        <f t="shared" si="14"/>
        <v>0</v>
      </c>
      <c r="BS30" s="84"/>
      <c r="BT30" s="49"/>
      <c r="BU30" s="49"/>
      <c r="BV30" s="49"/>
      <c r="BW30" s="49">
        <f t="shared" si="15"/>
        <v>0</v>
      </c>
      <c r="BX30" s="49">
        <f t="shared" si="16"/>
        <v>0</v>
      </c>
      <c r="BY30" s="105">
        <f t="shared" si="43"/>
        <v>0</v>
      </c>
      <c r="BZ30" s="49">
        <f t="shared" si="17"/>
        <v>0</v>
      </c>
      <c r="CA30" s="67"/>
      <c r="CB30" s="136">
        <f t="shared" si="44"/>
        <v>0</v>
      </c>
      <c r="CC30" s="137">
        <f t="shared" si="45"/>
        <v>0</v>
      </c>
      <c r="CD30" s="137">
        <f>BG30/((1+tab!$D$20)^2.5)</f>
        <v>0</v>
      </c>
      <c r="CE30" s="137">
        <f>BH30/((1+tab!$D$20)^6.5)</f>
        <v>0</v>
      </c>
      <c r="CF30" s="77"/>
    </row>
    <row r="31" spans="2:84" x14ac:dyDescent="0.2">
      <c r="B31" s="67"/>
      <c r="C31" s="47"/>
      <c r="D31" s="35"/>
      <c r="E31" s="36"/>
      <c r="F31" s="154" t="str">
        <f>IF(E31="","",E31+(tab!$D$17*365.25))</f>
        <v/>
      </c>
      <c r="G31" s="155">
        <f>ROUND(IF(E31="",0,(F31-I31)/tab!$D$11),0)</f>
        <v>0</v>
      </c>
      <c r="H31" s="37"/>
      <c r="I31" s="37"/>
      <c r="J31" s="38"/>
      <c r="K31" s="52"/>
      <c r="L31" s="94">
        <f>IF(K31/tab!$D$10/12&gt;tab!$D$12,tab!$D$12,K31/tab!$D$10/12)</f>
        <v>0</v>
      </c>
      <c r="M31" s="95">
        <f>ROUND(L31*tab!$D$10,0)</f>
        <v>0</v>
      </c>
      <c r="N31" s="95">
        <f t="shared" si="18"/>
        <v>0</v>
      </c>
      <c r="O31" s="95">
        <f t="shared" si="19"/>
        <v>0</v>
      </c>
      <c r="P31" s="96">
        <f t="shared" si="20"/>
        <v>0</v>
      </c>
      <c r="Q31" s="96">
        <f t="shared" si="21"/>
        <v>0</v>
      </c>
      <c r="R31" s="96">
        <f t="shared" si="22"/>
        <v>0</v>
      </c>
      <c r="S31" s="97">
        <f t="shared" si="23"/>
        <v>0</v>
      </c>
      <c r="T31" s="98">
        <f t="shared" si="24"/>
        <v>0</v>
      </c>
      <c r="U31" s="93">
        <f>(T31-I31)/tab!$D$11</f>
        <v>0</v>
      </c>
      <c r="V31" s="39">
        <f>((2*N31)+((S31-2)*O31))*(1+tab!$D$15)*(1+tab!$D$16)</f>
        <v>0</v>
      </c>
      <c r="W31" s="40">
        <f t="shared" si="25"/>
        <v>0</v>
      </c>
      <c r="X31" s="99">
        <f t="shared" si="26"/>
        <v>0</v>
      </c>
      <c r="Y31" s="39">
        <f>(IF(S31&lt;6,(S31-2)*(N31-O31),(W31*(N31-O31)))*(1+tab!$D$15)*(1+tab!$D$16))</f>
        <v>0</v>
      </c>
      <c r="Z31" s="127" t="s">
        <v>96</v>
      </c>
      <c r="AA31" s="58">
        <f t="shared" si="27"/>
        <v>0</v>
      </c>
      <c r="AB31" s="98">
        <f t="shared" si="28"/>
        <v>0</v>
      </c>
      <c r="AC31" s="39">
        <f>+(AA31*O31)*(1+tab!$D$15)*(1+tab!$D$16)</f>
        <v>0</v>
      </c>
      <c r="AD31" s="94">
        <f>IF(K31/tab!$D$10/12&gt;tab!$D$13,tab!$D$13,K31/tab!$D$10/12)</f>
        <v>0</v>
      </c>
      <c r="AE31" s="95">
        <f>ROUND(AD31*tab!$D$10,0)</f>
        <v>0</v>
      </c>
      <c r="AF31" s="95">
        <f t="shared" si="29"/>
        <v>0</v>
      </c>
      <c r="AG31" s="57" t="str">
        <f t="shared" si="30"/>
        <v>nee</v>
      </c>
      <c r="AH31" s="40">
        <v>34</v>
      </c>
      <c r="AI31" s="40">
        <f t="shared" si="31"/>
        <v>0</v>
      </c>
      <c r="AJ31" s="98">
        <f t="shared" si="32"/>
        <v>0</v>
      </c>
      <c r="AK31" s="39">
        <f>+(AI31*AF31)*(1+tab!$D$15)*(1+tab!$D$16)</f>
        <v>0</v>
      </c>
      <c r="AL31" s="57" t="str">
        <f t="shared" si="33"/>
        <v>nee</v>
      </c>
      <c r="AM31" s="50">
        <f t="shared" si="34"/>
        <v>0</v>
      </c>
      <c r="AN31" s="50" t="str">
        <f t="shared" si="35"/>
        <v/>
      </c>
      <c r="AO31" s="41">
        <f>IF(AE31*0.65&gt;tab!$D$14,tab!$D$14,AE31*0.65)</f>
        <v>0</v>
      </c>
      <c r="AP31" s="48">
        <f t="shared" si="36"/>
        <v>0</v>
      </c>
      <c r="AQ31" s="98">
        <f t="shared" si="37"/>
        <v>0</v>
      </c>
      <c r="AR31" s="39">
        <f>+AP31*AO31*(1+tab!$D$15)*(1+tab!$D$16)</f>
        <v>0</v>
      </c>
      <c r="AS31" s="39">
        <f t="shared" si="38"/>
        <v>0</v>
      </c>
      <c r="AT31" s="100">
        <f>IF(ROUND(IF(I31=0,0,((V$3-I31)/tab!$D$11)),0)&lt;1,0,ROUND(IF(I31=0,0,((V$3-I31)/tab!$D$11)),0))</f>
        <v>0</v>
      </c>
      <c r="AU31" s="41">
        <f t="shared" si="2"/>
        <v>0</v>
      </c>
      <c r="AV31" s="41">
        <f t="shared" si="3"/>
        <v>0</v>
      </c>
      <c r="AW31" s="41">
        <f t="shared" si="4"/>
        <v>0</v>
      </c>
      <c r="AX31" s="41">
        <f t="shared" si="5"/>
        <v>0</v>
      </c>
      <c r="AY31" s="41">
        <f t="shared" si="6"/>
        <v>0</v>
      </c>
      <c r="AZ31" s="39">
        <f t="shared" si="7"/>
        <v>0</v>
      </c>
      <c r="BA31" s="101">
        <f t="shared" si="39"/>
        <v>0</v>
      </c>
      <c r="BB31" s="102">
        <f>IF(J31="ja",tab!$K$3,tab!$K$4)</f>
        <v>0.5</v>
      </c>
      <c r="BC31" s="101">
        <f>IF(J31="ja",tab!$K$3*BA31,tab!$K$4*BA31)</f>
        <v>0</v>
      </c>
      <c r="BD31" s="53"/>
      <c r="BE31" s="103">
        <f t="shared" si="40"/>
        <v>0</v>
      </c>
      <c r="BF31" s="104">
        <f t="shared" si="8"/>
        <v>0</v>
      </c>
      <c r="BG31" s="104">
        <f t="shared" si="9"/>
        <v>0</v>
      </c>
      <c r="BH31" s="104">
        <f t="shared" si="41"/>
        <v>0</v>
      </c>
      <c r="BI31" s="77"/>
      <c r="BJ31" s="59"/>
      <c r="BK31" s="59"/>
      <c r="BL31" s="49">
        <f t="shared" si="10"/>
        <v>0</v>
      </c>
      <c r="BM31" s="49"/>
      <c r="BN31" s="49">
        <f t="shared" si="11"/>
        <v>0</v>
      </c>
      <c r="BO31" s="49">
        <f t="shared" si="12"/>
        <v>0</v>
      </c>
      <c r="BP31" s="49">
        <f t="shared" si="13"/>
        <v>0</v>
      </c>
      <c r="BQ31" s="49">
        <f t="shared" si="42"/>
        <v>0</v>
      </c>
      <c r="BR31" s="49">
        <f t="shared" si="14"/>
        <v>0</v>
      </c>
      <c r="BS31" s="84"/>
      <c r="BT31" s="49"/>
      <c r="BU31" s="49"/>
      <c r="BV31" s="49"/>
      <c r="BW31" s="49">
        <f t="shared" si="15"/>
        <v>0</v>
      </c>
      <c r="BX31" s="49">
        <f t="shared" si="16"/>
        <v>0</v>
      </c>
      <c r="BY31" s="105">
        <f t="shared" si="43"/>
        <v>0</v>
      </c>
      <c r="BZ31" s="49">
        <f t="shared" si="17"/>
        <v>0</v>
      </c>
      <c r="CA31" s="67"/>
      <c r="CB31" s="136">
        <f t="shared" si="44"/>
        <v>0</v>
      </c>
      <c r="CC31" s="137">
        <f t="shared" si="45"/>
        <v>0</v>
      </c>
      <c r="CD31" s="137">
        <f>BG31/((1+tab!$D$20)^2.5)</f>
        <v>0</v>
      </c>
      <c r="CE31" s="137">
        <f>BH31/((1+tab!$D$20)^6.5)</f>
        <v>0</v>
      </c>
      <c r="CF31" s="77"/>
    </row>
    <row r="32" spans="2:84" x14ac:dyDescent="0.2">
      <c r="B32" s="67"/>
      <c r="C32" s="47"/>
      <c r="D32" s="35"/>
      <c r="E32" s="36"/>
      <c r="F32" s="154" t="str">
        <f>IF(E32="","",E32+(tab!$D$17*365.25))</f>
        <v/>
      </c>
      <c r="G32" s="155">
        <f>ROUND(IF(E32="",0,(F32-I32)/tab!$D$11),0)</f>
        <v>0</v>
      </c>
      <c r="H32" s="37"/>
      <c r="I32" s="37"/>
      <c r="J32" s="38"/>
      <c r="K32" s="52"/>
      <c r="L32" s="94">
        <f>IF(K32/tab!$D$10/12&gt;tab!$D$12,tab!$D$12,K32/tab!$D$10/12)</f>
        <v>0</v>
      </c>
      <c r="M32" s="95">
        <f>ROUND(L32*tab!$D$10,0)</f>
        <v>0</v>
      </c>
      <c r="N32" s="95">
        <f t="shared" si="18"/>
        <v>0</v>
      </c>
      <c r="O32" s="95">
        <f t="shared" si="19"/>
        <v>0</v>
      </c>
      <c r="P32" s="96">
        <f t="shared" si="20"/>
        <v>0</v>
      </c>
      <c r="Q32" s="96">
        <f t="shared" si="21"/>
        <v>0</v>
      </c>
      <c r="R32" s="96">
        <f t="shared" si="22"/>
        <v>0</v>
      </c>
      <c r="S32" s="97">
        <f t="shared" si="23"/>
        <v>0</v>
      </c>
      <c r="T32" s="98">
        <f t="shared" si="24"/>
        <v>0</v>
      </c>
      <c r="U32" s="93">
        <f>(T32-I32)/tab!$D$11</f>
        <v>0</v>
      </c>
      <c r="V32" s="39">
        <f>((2*N32)+((S32-2)*O32))*(1+tab!$D$15)*(1+tab!$D$16)</f>
        <v>0</v>
      </c>
      <c r="W32" s="40">
        <f t="shared" si="25"/>
        <v>0</v>
      </c>
      <c r="X32" s="99">
        <f t="shared" si="26"/>
        <v>0</v>
      </c>
      <c r="Y32" s="39">
        <f>(IF(S32&lt;6,(S32-2)*(N32-O32),(W32*(N32-O32)))*(1+tab!$D$15)*(1+tab!$D$16))</f>
        <v>0</v>
      </c>
      <c r="Z32" s="127" t="s">
        <v>96</v>
      </c>
      <c r="AA32" s="58">
        <f t="shared" si="27"/>
        <v>0</v>
      </c>
      <c r="AB32" s="98">
        <f t="shared" si="28"/>
        <v>0</v>
      </c>
      <c r="AC32" s="39">
        <f>+(AA32*O32)*(1+tab!$D$15)*(1+tab!$D$16)</f>
        <v>0</v>
      </c>
      <c r="AD32" s="94">
        <f>IF(K32/tab!$D$10/12&gt;tab!$D$13,tab!$D$13,K32/tab!$D$10/12)</f>
        <v>0</v>
      </c>
      <c r="AE32" s="95">
        <f>ROUND(AD32*tab!$D$10,0)</f>
        <v>0</v>
      </c>
      <c r="AF32" s="95">
        <f t="shared" si="29"/>
        <v>0</v>
      </c>
      <c r="AG32" s="57" t="str">
        <f t="shared" si="30"/>
        <v>nee</v>
      </c>
      <c r="AH32" s="40">
        <v>34</v>
      </c>
      <c r="AI32" s="40">
        <f t="shared" si="31"/>
        <v>0</v>
      </c>
      <c r="AJ32" s="98">
        <f t="shared" si="32"/>
        <v>0</v>
      </c>
      <c r="AK32" s="39">
        <f>+(AI32*AF32)*(1+tab!$D$15)*(1+tab!$D$16)</f>
        <v>0</v>
      </c>
      <c r="AL32" s="57" t="str">
        <f t="shared" si="33"/>
        <v>nee</v>
      </c>
      <c r="AM32" s="50">
        <f t="shared" si="34"/>
        <v>0</v>
      </c>
      <c r="AN32" s="50" t="str">
        <f t="shared" si="35"/>
        <v/>
      </c>
      <c r="AO32" s="41">
        <f>IF(AE32*0.65&gt;tab!$D$14,tab!$D$14,AE32*0.65)</f>
        <v>0</v>
      </c>
      <c r="AP32" s="48">
        <f t="shared" si="36"/>
        <v>0</v>
      </c>
      <c r="AQ32" s="98">
        <f t="shared" si="37"/>
        <v>0</v>
      </c>
      <c r="AR32" s="39">
        <f>+AP32*AO32*(1+tab!$D$15)*(1+tab!$D$16)</f>
        <v>0</v>
      </c>
      <c r="AS32" s="39">
        <f t="shared" si="38"/>
        <v>0</v>
      </c>
      <c r="AT32" s="100">
        <f>IF(ROUND(IF(I32=0,0,((V$3-I32)/tab!$D$11)),0)&lt;1,0,ROUND(IF(I32=0,0,((V$3-I32)/tab!$D$11)),0))</f>
        <v>0</v>
      </c>
      <c r="AU32" s="41">
        <f t="shared" si="2"/>
        <v>0</v>
      </c>
      <c r="AV32" s="41">
        <f t="shared" si="3"/>
        <v>0</v>
      </c>
      <c r="AW32" s="41">
        <f t="shared" si="4"/>
        <v>0</v>
      </c>
      <c r="AX32" s="41">
        <f t="shared" si="5"/>
        <v>0</v>
      </c>
      <c r="AY32" s="41">
        <f t="shared" si="6"/>
        <v>0</v>
      </c>
      <c r="AZ32" s="39">
        <f t="shared" si="7"/>
        <v>0</v>
      </c>
      <c r="BA32" s="101">
        <f t="shared" si="39"/>
        <v>0</v>
      </c>
      <c r="BB32" s="102">
        <f>IF(J32="ja",tab!$K$3,tab!$K$4)</f>
        <v>0.5</v>
      </c>
      <c r="BC32" s="101">
        <f>IF(J32="ja",tab!$K$3*BA32,tab!$K$4*BA32)</f>
        <v>0</v>
      </c>
      <c r="BD32" s="53"/>
      <c r="BE32" s="103">
        <f t="shared" si="40"/>
        <v>0</v>
      </c>
      <c r="BF32" s="104">
        <f t="shared" si="8"/>
        <v>0</v>
      </c>
      <c r="BG32" s="104">
        <f t="shared" si="9"/>
        <v>0</v>
      </c>
      <c r="BH32" s="104">
        <f t="shared" si="41"/>
        <v>0</v>
      </c>
      <c r="BI32" s="77"/>
      <c r="BJ32" s="59"/>
      <c r="BK32" s="59"/>
      <c r="BL32" s="49">
        <f t="shared" si="10"/>
        <v>0</v>
      </c>
      <c r="BM32" s="49"/>
      <c r="BN32" s="49">
        <f t="shared" si="11"/>
        <v>0</v>
      </c>
      <c r="BO32" s="49">
        <f t="shared" si="12"/>
        <v>0</v>
      </c>
      <c r="BP32" s="49">
        <f t="shared" si="13"/>
        <v>0</v>
      </c>
      <c r="BQ32" s="49">
        <f t="shared" si="42"/>
        <v>0</v>
      </c>
      <c r="BR32" s="49">
        <f t="shared" si="14"/>
        <v>0</v>
      </c>
      <c r="BS32" s="84"/>
      <c r="BT32" s="49"/>
      <c r="BU32" s="49"/>
      <c r="BV32" s="49"/>
      <c r="BW32" s="49">
        <f t="shared" si="15"/>
        <v>0</v>
      </c>
      <c r="BX32" s="49">
        <f t="shared" si="16"/>
        <v>0</v>
      </c>
      <c r="BY32" s="105">
        <f t="shared" si="43"/>
        <v>0</v>
      </c>
      <c r="BZ32" s="49">
        <f t="shared" si="17"/>
        <v>0</v>
      </c>
      <c r="CA32" s="67"/>
      <c r="CB32" s="136">
        <f t="shared" si="44"/>
        <v>0</v>
      </c>
      <c r="CC32" s="137">
        <f t="shared" si="45"/>
        <v>0</v>
      </c>
      <c r="CD32" s="137">
        <f>BG32/((1+tab!$D$20)^2.5)</f>
        <v>0</v>
      </c>
      <c r="CE32" s="137">
        <f>BH32/((1+tab!$D$20)^6.5)</f>
        <v>0</v>
      </c>
      <c r="CF32" s="77"/>
    </row>
    <row r="33" spans="2:84" x14ac:dyDescent="0.2">
      <c r="B33" s="67"/>
      <c r="C33" s="47"/>
      <c r="D33" s="35"/>
      <c r="E33" s="36"/>
      <c r="F33" s="154" t="str">
        <f>IF(E33="","",E33+(tab!$D$17*365.25))</f>
        <v/>
      </c>
      <c r="G33" s="155">
        <f>ROUND(IF(E33="",0,(F33-I33)/tab!$D$11),0)</f>
        <v>0</v>
      </c>
      <c r="H33" s="37"/>
      <c r="I33" s="37"/>
      <c r="J33" s="38"/>
      <c r="K33" s="52"/>
      <c r="L33" s="94">
        <f>IF(K33/tab!$D$10/12&gt;tab!$D$12,tab!$D$12,K33/tab!$D$10/12)</f>
        <v>0</v>
      </c>
      <c r="M33" s="95">
        <f>ROUND(L33*tab!$D$10,0)</f>
        <v>0</v>
      </c>
      <c r="N33" s="95">
        <f t="shared" si="18"/>
        <v>0</v>
      </c>
      <c r="O33" s="95">
        <f t="shared" si="19"/>
        <v>0</v>
      </c>
      <c r="P33" s="96">
        <f t="shared" si="20"/>
        <v>0</v>
      </c>
      <c r="Q33" s="96">
        <f t="shared" si="21"/>
        <v>0</v>
      </c>
      <c r="R33" s="96">
        <f t="shared" si="22"/>
        <v>0</v>
      </c>
      <c r="S33" s="97">
        <f t="shared" si="23"/>
        <v>0</v>
      </c>
      <c r="T33" s="98">
        <f t="shared" si="24"/>
        <v>0</v>
      </c>
      <c r="U33" s="93">
        <f>(T33-I33)/tab!$D$11</f>
        <v>0</v>
      </c>
      <c r="V33" s="39">
        <f>((2*N33)+((S33-2)*O33))*(1+tab!$D$15)*(1+tab!$D$16)</f>
        <v>0</v>
      </c>
      <c r="W33" s="40">
        <f t="shared" si="25"/>
        <v>0</v>
      </c>
      <c r="X33" s="99">
        <f t="shared" si="26"/>
        <v>0</v>
      </c>
      <c r="Y33" s="39">
        <f>(IF(S33&lt;6,(S33-2)*(N33-O33),(W33*(N33-O33)))*(1+tab!$D$15)*(1+tab!$D$16))</f>
        <v>0</v>
      </c>
      <c r="Z33" s="127" t="s">
        <v>96</v>
      </c>
      <c r="AA33" s="58">
        <f t="shared" si="27"/>
        <v>0</v>
      </c>
      <c r="AB33" s="98">
        <f t="shared" si="28"/>
        <v>0</v>
      </c>
      <c r="AC33" s="39">
        <f>+(AA33*O33)*(1+tab!$D$15)*(1+tab!$D$16)</f>
        <v>0</v>
      </c>
      <c r="AD33" s="94">
        <f>IF(K33/tab!$D$10/12&gt;tab!$D$13,tab!$D$13,K33/tab!$D$10/12)</f>
        <v>0</v>
      </c>
      <c r="AE33" s="95">
        <f>ROUND(AD33*tab!$D$10,0)</f>
        <v>0</v>
      </c>
      <c r="AF33" s="95">
        <f t="shared" si="29"/>
        <v>0</v>
      </c>
      <c r="AG33" s="57" t="str">
        <f t="shared" si="30"/>
        <v>nee</v>
      </c>
      <c r="AH33" s="40">
        <v>34</v>
      </c>
      <c r="AI33" s="40">
        <f t="shared" si="31"/>
        <v>0</v>
      </c>
      <c r="AJ33" s="98">
        <f t="shared" si="32"/>
        <v>0</v>
      </c>
      <c r="AK33" s="39">
        <f>+(AI33*AF33)*(1+tab!$D$15)*(1+tab!$D$16)</f>
        <v>0</v>
      </c>
      <c r="AL33" s="57" t="str">
        <f t="shared" si="33"/>
        <v>nee</v>
      </c>
      <c r="AM33" s="50">
        <f t="shared" si="34"/>
        <v>0</v>
      </c>
      <c r="AN33" s="50" t="str">
        <f t="shared" si="35"/>
        <v/>
      </c>
      <c r="AO33" s="41">
        <f>IF(AE33*0.65&gt;tab!$D$14,tab!$D$14,AE33*0.65)</f>
        <v>0</v>
      </c>
      <c r="AP33" s="48">
        <f t="shared" si="36"/>
        <v>0</v>
      </c>
      <c r="AQ33" s="98">
        <f t="shared" si="37"/>
        <v>0</v>
      </c>
      <c r="AR33" s="39">
        <f>+AP33*AO33*(1+tab!$D$15)*(1+tab!$D$16)</f>
        <v>0</v>
      </c>
      <c r="AS33" s="39">
        <f t="shared" si="38"/>
        <v>0</v>
      </c>
      <c r="AT33" s="100">
        <f>IF(ROUND(IF(I33=0,0,((V$3-I33)/tab!$D$11)),0)&lt;1,0,ROUND(IF(I33=0,0,((V$3-I33)/tab!$D$11)),0))</f>
        <v>0</v>
      </c>
      <c r="AU33" s="41">
        <f t="shared" si="2"/>
        <v>0</v>
      </c>
      <c r="AV33" s="41">
        <f t="shared" si="3"/>
        <v>0</v>
      </c>
      <c r="AW33" s="41">
        <f t="shared" si="4"/>
        <v>0</v>
      </c>
      <c r="AX33" s="41">
        <f t="shared" si="5"/>
        <v>0</v>
      </c>
      <c r="AY33" s="41">
        <f t="shared" si="6"/>
        <v>0</v>
      </c>
      <c r="AZ33" s="39">
        <f t="shared" si="7"/>
        <v>0</v>
      </c>
      <c r="BA33" s="101">
        <f t="shared" si="39"/>
        <v>0</v>
      </c>
      <c r="BB33" s="102">
        <f>IF(J33="ja",tab!$K$3,tab!$K$4)</f>
        <v>0.5</v>
      </c>
      <c r="BC33" s="101">
        <f>IF(J33="ja",tab!$K$3*BA33,tab!$K$4*BA33)</f>
        <v>0</v>
      </c>
      <c r="BD33" s="53"/>
      <c r="BE33" s="103">
        <f t="shared" si="40"/>
        <v>0</v>
      </c>
      <c r="BF33" s="104">
        <f t="shared" si="8"/>
        <v>0</v>
      </c>
      <c r="BG33" s="104">
        <f t="shared" si="9"/>
        <v>0</v>
      </c>
      <c r="BH33" s="104">
        <f t="shared" si="41"/>
        <v>0</v>
      </c>
      <c r="BI33" s="77"/>
      <c r="BJ33" s="59"/>
      <c r="BK33" s="59"/>
      <c r="BL33" s="49">
        <f t="shared" si="10"/>
        <v>0</v>
      </c>
      <c r="BM33" s="49"/>
      <c r="BN33" s="49">
        <f t="shared" si="11"/>
        <v>0</v>
      </c>
      <c r="BO33" s="49">
        <f t="shared" si="12"/>
        <v>0</v>
      </c>
      <c r="BP33" s="49">
        <f t="shared" si="13"/>
        <v>0</v>
      </c>
      <c r="BQ33" s="49">
        <f t="shared" si="42"/>
        <v>0</v>
      </c>
      <c r="BR33" s="49">
        <f t="shared" si="14"/>
        <v>0</v>
      </c>
      <c r="BS33" s="84"/>
      <c r="BT33" s="49"/>
      <c r="BU33" s="49"/>
      <c r="BV33" s="49"/>
      <c r="BW33" s="49">
        <f t="shared" si="15"/>
        <v>0</v>
      </c>
      <c r="BX33" s="49">
        <f t="shared" si="16"/>
        <v>0</v>
      </c>
      <c r="BY33" s="105">
        <f t="shared" si="43"/>
        <v>0</v>
      </c>
      <c r="BZ33" s="49">
        <f t="shared" si="17"/>
        <v>0</v>
      </c>
      <c r="CA33" s="67"/>
      <c r="CB33" s="136">
        <f t="shared" si="44"/>
        <v>0</v>
      </c>
      <c r="CC33" s="137">
        <f t="shared" si="45"/>
        <v>0</v>
      </c>
      <c r="CD33" s="137">
        <f>BG33/((1+tab!$D$20)^2.5)</f>
        <v>0</v>
      </c>
      <c r="CE33" s="137">
        <f>BH33/((1+tab!$D$20)^6.5)</f>
        <v>0</v>
      </c>
      <c r="CF33" s="77"/>
    </row>
    <row r="34" spans="2:84" x14ac:dyDescent="0.2">
      <c r="B34" s="67"/>
      <c r="C34" s="47"/>
      <c r="D34" s="35"/>
      <c r="E34" s="36"/>
      <c r="F34" s="154" t="str">
        <f>IF(E34="","",E34+(tab!$D$17*365.25))</f>
        <v/>
      </c>
      <c r="G34" s="155">
        <f>ROUND(IF(E34="",0,(F34-I34)/tab!$D$11),0)</f>
        <v>0</v>
      </c>
      <c r="H34" s="37"/>
      <c r="I34" s="37"/>
      <c r="J34" s="38"/>
      <c r="K34" s="52"/>
      <c r="L34" s="94">
        <f>IF(K34/tab!$D$10/12&gt;tab!$D$12,tab!$D$12,K34/tab!$D$10/12)</f>
        <v>0</v>
      </c>
      <c r="M34" s="95">
        <f>ROUND(L34*tab!$D$10,0)</f>
        <v>0</v>
      </c>
      <c r="N34" s="95">
        <f t="shared" si="18"/>
        <v>0</v>
      </c>
      <c r="O34" s="95">
        <f t="shared" si="19"/>
        <v>0</v>
      </c>
      <c r="P34" s="96">
        <f t="shared" si="20"/>
        <v>0</v>
      </c>
      <c r="Q34" s="96">
        <f t="shared" si="21"/>
        <v>0</v>
      </c>
      <c r="R34" s="96">
        <f t="shared" si="22"/>
        <v>0</v>
      </c>
      <c r="S34" s="97">
        <f t="shared" si="23"/>
        <v>0</v>
      </c>
      <c r="T34" s="98">
        <f t="shared" si="24"/>
        <v>0</v>
      </c>
      <c r="U34" s="93">
        <f>(T34-I34)/tab!$D$11</f>
        <v>0</v>
      </c>
      <c r="V34" s="39">
        <f>((2*N34)+((S34-2)*O34))*(1+tab!$D$15)*(1+tab!$D$16)</f>
        <v>0</v>
      </c>
      <c r="W34" s="40">
        <f t="shared" si="25"/>
        <v>0</v>
      </c>
      <c r="X34" s="99">
        <f t="shared" si="26"/>
        <v>0</v>
      </c>
      <c r="Y34" s="39">
        <f>(IF(S34&lt;6,(S34-2)*(N34-O34),(W34*(N34-O34)))*(1+tab!$D$15)*(1+tab!$D$16))</f>
        <v>0</v>
      </c>
      <c r="Z34" s="127" t="s">
        <v>96</v>
      </c>
      <c r="AA34" s="58">
        <f t="shared" si="27"/>
        <v>0</v>
      </c>
      <c r="AB34" s="98">
        <f t="shared" si="28"/>
        <v>0</v>
      </c>
      <c r="AC34" s="39">
        <f>+(AA34*O34)*(1+tab!$D$15)*(1+tab!$D$16)</f>
        <v>0</v>
      </c>
      <c r="AD34" s="94">
        <f>IF(K34/tab!$D$10/12&gt;tab!$D$13,tab!$D$13,K34/tab!$D$10/12)</f>
        <v>0</v>
      </c>
      <c r="AE34" s="95">
        <f>ROUND(AD34*tab!$D$10,0)</f>
        <v>0</v>
      </c>
      <c r="AF34" s="95">
        <f t="shared" si="29"/>
        <v>0</v>
      </c>
      <c r="AG34" s="57" t="str">
        <f t="shared" si="30"/>
        <v>nee</v>
      </c>
      <c r="AH34" s="40">
        <v>34</v>
      </c>
      <c r="AI34" s="40">
        <f t="shared" si="31"/>
        <v>0</v>
      </c>
      <c r="AJ34" s="98">
        <f t="shared" si="32"/>
        <v>0</v>
      </c>
      <c r="AK34" s="39">
        <f>+(AI34*AF34)*(1+tab!$D$15)*(1+tab!$D$16)</f>
        <v>0</v>
      </c>
      <c r="AL34" s="57" t="str">
        <f t="shared" si="33"/>
        <v>nee</v>
      </c>
      <c r="AM34" s="50">
        <f t="shared" si="34"/>
        <v>0</v>
      </c>
      <c r="AN34" s="50" t="str">
        <f t="shared" si="35"/>
        <v/>
      </c>
      <c r="AO34" s="41">
        <f>IF(AE34*0.65&gt;tab!$D$14,tab!$D$14,AE34*0.65)</f>
        <v>0</v>
      </c>
      <c r="AP34" s="48">
        <f t="shared" si="36"/>
        <v>0</v>
      </c>
      <c r="AQ34" s="98">
        <f t="shared" si="37"/>
        <v>0</v>
      </c>
      <c r="AR34" s="39">
        <f>+AP34*AO34*(1+tab!$D$15)*(1+tab!$D$16)</f>
        <v>0</v>
      </c>
      <c r="AS34" s="39">
        <f t="shared" si="38"/>
        <v>0</v>
      </c>
      <c r="AT34" s="100">
        <f>IF(ROUND(IF(I34=0,0,((V$3-I34)/tab!$D$11)),0)&lt;1,0,ROUND(IF(I34=0,0,((V$3-I34)/tab!$D$11)),0))</f>
        <v>0</v>
      </c>
      <c r="AU34" s="41">
        <f t="shared" si="2"/>
        <v>0</v>
      </c>
      <c r="AV34" s="41">
        <f t="shared" si="3"/>
        <v>0</v>
      </c>
      <c r="AW34" s="41">
        <f t="shared" si="4"/>
        <v>0</v>
      </c>
      <c r="AX34" s="41">
        <f t="shared" si="5"/>
        <v>0</v>
      </c>
      <c r="AY34" s="41">
        <f t="shared" si="6"/>
        <v>0</v>
      </c>
      <c r="AZ34" s="39">
        <f t="shared" si="7"/>
        <v>0</v>
      </c>
      <c r="BA34" s="101">
        <f t="shared" si="39"/>
        <v>0</v>
      </c>
      <c r="BB34" s="102">
        <f>IF(J34="ja",tab!$K$3,tab!$K$4)</f>
        <v>0.5</v>
      </c>
      <c r="BC34" s="101">
        <f>IF(J34="ja",tab!$K$3*BA34,tab!$K$4*BA34)</f>
        <v>0</v>
      </c>
      <c r="BD34" s="53"/>
      <c r="BE34" s="103">
        <f t="shared" si="40"/>
        <v>0</v>
      </c>
      <c r="BF34" s="104">
        <f t="shared" si="8"/>
        <v>0</v>
      </c>
      <c r="BG34" s="104">
        <f t="shared" si="9"/>
        <v>0</v>
      </c>
      <c r="BH34" s="104">
        <f t="shared" si="41"/>
        <v>0</v>
      </c>
      <c r="BI34" s="77"/>
      <c r="BJ34" s="59"/>
      <c r="BK34" s="59"/>
      <c r="BL34" s="49">
        <f t="shared" si="10"/>
        <v>0</v>
      </c>
      <c r="BM34" s="49"/>
      <c r="BN34" s="49">
        <f t="shared" si="11"/>
        <v>0</v>
      </c>
      <c r="BO34" s="49">
        <f t="shared" si="12"/>
        <v>0</v>
      </c>
      <c r="BP34" s="49">
        <f t="shared" si="13"/>
        <v>0</v>
      </c>
      <c r="BQ34" s="49">
        <f t="shared" si="42"/>
        <v>0</v>
      </c>
      <c r="BR34" s="49">
        <f t="shared" si="14"/>
        <v>0</v>
      </c>
      <c r="BS34" s="84"/>
      <c r="BT34" s="49"/>
      <c r="BU34" s="49"/>
      <c r="BV34" s="49"/>
      <c r="BW34" s="49">
        <f t="shared" si="15"/>
        <v>0</v>
      </c>
      <c r="BX34" s="49">
        <f t="shared" si="16"/>
        <v>0</v>
      </c>
      <c r="BY34" s="105">
        <f t="shared" si="43"/>
        <v>0</v>
      </c>
      <c r="BZ34" s="49">
        <f t="shared" si="17"/>
        <v>0</v>
      </c>
      <c r="CA34" s="67"/>
      <c r="CB34" s="136">
        <f t="shared" si="44"/>
        <v>0</v>
      </c>
      <c r="CC34" s="137">
        <f t="shared" si="45"/>
        <v>0</v>
      </c>
      <c r="CD34" s="137">
        <f>BG34/((1+tab!$D$20)^2.5)</f>
        <v>0</v>
      </c>
      <c r="CE34" s="137">
        <f>BH34/((1+tab!$D$20)^6.5)</f>
        <v>0</v>
      </c>
      <c r="CF34" s="77"/>
    </row>
    <row r="35" spans="2:84" x14ac:dyDescent="0.2">
      <c r="B35" s="67"/>
      <c r="C35" s="47"/>
      <c r="D35" s="35"/>
      <c r="E35" s="36"/>
      <c r="F35" s="154" t="str">
        <f>IF(E35="","",E35+(tab!$D$17*365.25))</f>
        <v/>
      </c>
      <c r="G35" s="155">
        <f>ROUND(IF(E35="",0,(F35-I35)/tab!$D$11),0)</f>
        <v>0</v>
      </c>
      <c r="H35" s="37"/>
      <c r="I35" s="37"/>
      <c r="J35" s="38"/>
      <c r="K35" s="52"/>
      <c r="L35" s="94">
        <f>IF(K35/tab!$D$10/12&gt;tab!$D$12,tab!$D$12,K35/tab!$D$10/12)</f>
        <v>0</v>
      </c>
      <c r="M35" s="95">
        <f>ROUND(L35*tab!$D$10,0)</f>
        <v>0</v>
      </c>
      <c r="N35" s="95">
        <f t="shared" si="18"/>
        <v>0</v>
      </c>
      <c r="O35" s="95">
        <f t="shared" si="19"/>
        <v>0</v>
      </c>
      <c r="P35" s="96">
        <f t="shared" si="20"/>
        <v>0</v>
      </c>
      <c r="Q35" s="96">
        <f t="shared" si="21"/>
        <v>0</v>
      </c>
      <c r="R35" s="96">
        <f t="shared" si="22"/>
        <v>0</v>
      </c>
      <c r="S35" s="97">
        <f t="shared" si="23"/>
        <v>0</v>
      </c>
      <c r="T35" s="98">
        <f t="shared" si="24"/>
        <v>0</v>
      </c>
      <c r="U35" s="93">
        <f>(T35-I35)/tab!$D$11</f>
        <v>0</v>
      </c>
      <c r="V35" s="39">
        <f>((2*N35)+((S35-2)*O35))*(1+tab!$D$15)*(1+tab!$D$16)</f>
        <v>0</v>
      </c>
      <c r="W35" s="40">
        <f t="shared" si="25"/>
        <v>0</v>
      </c>
      <c r="X35" s="99">
        <f t="shared" si="26"/>
        <v>0</v>
      </c>
      <c r="Y35" s="39">
        <f>(IF(S35&lt;6,(S35-2)*(N35-O35),(W35*(N35-O35)))*(1+tab!$D$15)*(1+tab!$D$16))</f>
        <v>0</v>
      </c>
      <c r="Z35" s="127" t="s">
        <v>96</v>
      </c>
      <c r="AA35" s="58">
        <f t="shared" si="27"/>
        <v>0</v>
      </c>
      <c r="AB35" s="98">
        <f t="shared" si="28"/>
        <v>0</v>
      </c>
      <c r="AC35" s="39">
        <f>+(AA35*O35)*(1+tab!$D$15)*(1+tab!$D$16)</f>
        <v>0</v>
      </c>
      <c r="AD35" s="94">
        <f>IF(K35/tab!$D$10/12&gt;tab!$D$13,tab!$D$13,K35/tab!$D$10/12)</f>
        <v>0</v>
      </c>
      <c r="AE35" s="95">
        <f>ROUND(AD35*tab!$D$10,0)</f>
        <v>0</v>
      </c>
      <c r="AF35" s="95">
        <f t="shared" si="29"/>
        <v>0</v>
      </c>
      <c r="AG35" s="57" t="str">
        <f t="shared" si="30"/>
        <v>nee</v>
      </c>
      <c r="AH35" s="40">
        <v>34</v>
      </c>
      <c r="AI35" s="40">
        <f t="shared" si="31"/>
        <v>0</v>
      </c>
      <c r="AJ35" s="98">
        <f t="shared" si="32"/>
        <v>0</v>
      </c>
      <c r="AK35" s="39">
        <f>+(AI35*AF35)*(1+tab!$D$15)*(1+tab!$D$16)</f>
        <v>0</v>
      </c>
      <c r="AL35" s="57" t="str">
        <f t="shared" si="33"/>
        <v>nee</v>
      </c>
      <c r="AM35" s="50">
        <f t="shared" si="34"/>
        <v>0</v>
      </c>
      <c r="AN35" s="50" t="str">
        <f t="shared" si="35"/>
        <v/>
      </c>
      <c r="AO35" s="41">
        <f>IF(AE35*0.65&gt;tab!$D$14,tab!$D$14,AE35*0.65)</f>
        <v>0</v>
      </c>
      <c r="AP35" s="48">
        <f t="shared" si="36"/>
        <v>0</v>
      </c>
      <c r="AQ35" s="98">
        <f t="shared" si="37"/>
        <v>0</v>
      </c>
      <c r="AR35" s="39">
        <f>+AP35*AO35*(1+tab!$D$15)*(1+tab!$D$16)</f>
        <v>0</v>
      </c>
      <c r="AS35" s="39">
        <f t="shared" si="38"/>
        <v>0</v>
      </c>
      <c r="AT35" s="100">
        <f>IF(ROUND(IF(I35=0,0,((V$3-I35)/tab!$D$11)),0)&lt;1,0,ROUND(IF(I35=0,0,((V$3-I35)/tab!$D$11)),0))</f>
        <v>0</v>
      </c>
      <c r="AU35" s="41">
        <f t="shared" si="2"/>
        <v>0</v>
      </c>
      <c r="AV35" s="41">
        <f t="shared" si="3"/>
        <v>0</v>
      </c>
      <c r="AW35" s="41">
        <f t="shared" si="4"/>
        <v>0</v>
      </c>
      <c r="AX35" s="41">
        <f t="shared" si="5"/>
        <v>0</v>
      </c>
      <c r="AY35" s="41">
        <f t="shared" si="6"/>
        <v>0</v>
      </c>
      <c r="AZ35" s="39">
        <f t="shared" si="7"/>
        <v>0</v>
      </c>
      <c r="BA35" s="101">
        <f t="shared" si="39"/>
        <v>0</v>
      </c>
      <c r="BB35" s="102">
        <f>IF(J35="ja",tab!$K$3,tab!$K$4)</f>
        <v>0.5</v>
      </c>
      <c r="BC35" s="101">
        <f>IF(J35="ja",tab!$K$3*BA35,tab!$K$4*BA35)</f>
        <v>0</v>
      </c>
      <c r="BD35" s="53"/>
      <c r="BE35" s="103">
        <f t="shared" si="40"/>
        <v>0</v>
      </c>
      <c r="BF35" s="104">
        <f t="shared" si="8"/>
        <v>0</v>
      </c>
      <c r="BG35" s="104">
        <f t="shared" si="9"/>
        <v>0</v>
      </c>
      <c r="BH35" s="104">
        <f t="shared" si="41"/>
        <v>0</v>
      </c>
      <c r="BI35" s="77"/>
      <c r="BJ35" s="59"/>
      <c r="BK35" s="59"/>
      <c r="BL35" s="49">
        <f t="shared" si="10"/>
        <v>0</v>
      </c>
      <c r="BM35" s="49"/>
      <c r="BN35" s="49">
        <f t="shared" si="11"/>
        <v>0</v>
      </c>
      <c r="BO35" s="49">
        <f t="shared" si="12"/>
        <v>0</v>
      </c>
      <c r="BP35" s="49">
        <f t="shared" si="13"/>
        <v>0</v>
      </c>
      <c r="BQ35" s="49">
        <f t="shared" si="42"/>
        <v>0</v>
      </c>
      <c r="BR35" s="49">
        <f t="shared" si="14"/>
        <v>0</v>
      </c>
      <c r="BS35" s="84"/>
      <c r="BT35" s="49"/>
      <c r="BU35" s="49"/>
      <c r="BV35" s="49"/>
      <c r="BW35" s="49">
        <f t="shared" si="15"/>
        <v>0</v>
      </c>
      <c r="BX35" s="49">
        <f t="shared" si="16"/>
        <v>0</v>
      </c>
      <c r="BY35" s="105">
        <f t="shared" si="43"/>
        <v>0</v>
      </c>
      <c r="BZ35" s="49">
        <f t="shared" si="17"/>
        <v>0</v>
      </c>
      <c r="CA35" s="67"/>
      <c r="CB35" s="136">
        <f t="shared" si="44"/>
        <v>0</v>
      </c>
      <c r="CC35" s="137">
        <f t="shared" si="45"/>
        <v>0</v>
      </c>
      <c r="CD35" s="137">
        <f>BG35/((1+tab!$D$20)^2.5)</f>
        <v>0</v>
      </c>
      <c r="CE35" s="137">
        <f>BH35/((1+tab!$D$20)^6.5)</f>
        <v>0</v>
      </c>
      <c r="CF35" s="77"/>
    </row>
    <row r="36" spans="2:84" x14ac:dyDescent="0.2">
      <c r="B36" s="67"/>
      <c r="C36" s="47"/>
      <c r="D36" s="35"/>
      <c r="E36" s="36"/>
      <c r="F36" s="154" t="str">
        <f>IF(E36="","",E36+(tab!$D$17*365.25))</f>
        <v/>
      </c>
      <c r="G36" s="155">
        <f>ROUND(IF(E36="",0,(F36-I36)/tab!$D$11),0)</f>
        <v>0</v>
      </c>
      <c r="H36" s="37"/>
      <c r="I36" s="37"/>
      <c r="J36" s="38"/>
      <c r="K36" s="52"/>
      <c r="L36" s="94">
        <f>IF(K36/tab!$D$10/12&gt;tab!$D$12,tab!$D$12,K36/tab!$D$10/12)</f>
        <v>0</v>
      </c>
      <c r="M36" s="95">
        <f>ROUND(L36*tab!$D$10,0)</f>
        <v>0</v>
      </c>
      <c r="N36" s="95">
        <f t="shared" si="18"/>
        <v>0</v>
      </c>
      <c r="O36" s="95">
        <f t="shared" si="19"/>
        <v>0</v>
      </c>
      <c r="P36" s="96">
        <f t="shared" si="20"/>
        <v>0</v>
      </c>
      <c r="Q36" s="96">
        <f t="shared" si="21"/>
        <v>0</v>
      </c>
      <c r="R36" s="96">
        <f t="shared" si="22"/>
        <v>0</v>
      </c>
      <c r="S36" s="97">
        <f t="shared" si="23"/>
        <v>0</v>
      </c>
      <c r="T36" s="98">
        <f t="shared" si="24"/>
        <v>0</v>
      </c>
      <c r="U36" s="93">
        <f>(T36-I36)/tab!$D$11</f>
        <v>0</v>
      </c>
      <c r="V36" s="39">
        <f>((2*N36)+((S36-2)*O36))*(1+tab!$D$15)*(1+tab!$D$16)</f>
        <v>0</v>
      </c>
      <c r="W36" s="40">
        <f t="shared" si="25"/>
        <v>0</v>
      </c>
      <c r="X36" s="99">
        <f t="shared" si="26"/>
        <v>0</v>
      </c>
      <c r="Y36" s="39">
        <f>(IF(S36&lt;6,(S36-2)*(N36-O36),(W36*(N36-O36)))*(1+tab!$D$15)*(1+tab!$D$16))</f>
        <v>0</v>
      </c>
      <c r="Z36" s="127" t="s">
        <v>96</v>
      </c>
      <c r="AA36" s="58">
        <f t="shared" si="27"/>
        <v>0</v>
      </c>
      <c r="AB36" s="98">
        <f t="shared" si="28"/>
        <v>0</v>
      </c>
      <c r="AC36" s="39">
        <f>+(AA36*O36)*(1+tab!$D$15)*(1+tab!$D$16)</f>
        <v>0</v>
      </c>
      <c r="AD36" s="94">
        <f>IF(K36/tab!$D$10/12&gt;tab!$D$13,tab!$D$13,K36/tab!$D$10/12)</f>
        <v>0</v>
      </c>
      <c r="AE36" s="95">
        <f>ROUND(AD36*tab!$D$10,0)</f>
        <v>0</v>
      </c>
      <c r="AF36" s="95">
        <f t="shared" si="29"/>
        <v>0</v>
      </c>
      <c r="AG36" s="57" t="str">
        <f t="shared" si="30"/>
        <v>nee</v>
      </c>
      <c r="AH36" s="40">
        <v>34</v>
      </c>
      <c r="AI36" s="40">
        <f t="shared" si="31"/>
        <v>0</v>
      </c>
      <c r="AJ36" s="98">
        <f t="shared" si="32"/>
        <v>0</v>
      </c>
      <c r="AK36" s="39">
        <f>+(AI36*AF36)*(1+tab!$D$15)*(1+tab!$D$16)</f>
        <v>0</v>
      </c>
      <c r="AL36" s="57" t="str">
        <f t="shared" si="33"/>
        <v>nee</v>
      </c>
      <c r="AM36" s="50">
        <f t="shared" si="34"/>
        <v>0</v>
      </c>
      <c r="AN36" s="50" t="str">
        <f t="shared" si="35"/>
        <v/>
      </c>
      <c r="AO36" s="41">
        <f>IF(AE36*0.65&gt;tab!$D$14,tab!$D$14,AE36*0.65)</f>
        <v>0</v>
      </c>
      <c r="AP36" s="48">
        <f t="shared" si="36"/>
        <v>0</v>
      </c>
      <c r="AQ36" s="98">
        <f t="shared" si="37"/>
        <v>0</v>
      </c>
      <c r="AR36" s="39">
        <f>+AP36*AO36*(1+tab!$D$15)*(1+tab!$D$16)</f>
        <v>0</v>
      </c>
      <c r="AS36" s="39">
        <f t="shared" si="38"/>
        <v>0</v>
      </c>
      <c r="AT36" s="100">
        <f>IF(ROUND(IF(I36=0,0,((V$3-I36)/tab!$D$11)),0)&lt;1,0,ROUND(IF(I36=0,0,((V$3-I36)/tab!$D$11)),0))</f>
        <v>0</v>
      </c>
      <c r="AU36" s="41">
        <f t="shared" si="2"/>
        <v>0</v>
      </c>
      <c r="AV36" s="41">
        <f t="shared" si="3"/>
        <v>0</v>
      </c>
      <c r="AW36" s="41">
        <f t="shared" si="4"/>
        <v>0</v>
      </c>
      <c r="AX36" s="41">
        <f t="shared" si="5"/>
        <v>0</v>
      </c>
      <c r="AY36" s="41">
        <f t="shared" si="6"/>
        <v>0</v>
      </c>
      <c r="AZ36" s="39">
        <f t="shared" si="7"/>
        <v>0</v>
      </c>
      <c r="BA36" s="101">
        <f t="shared" si="39"/>
        <v>0</v>
      </c>
      <c r="BB36" s="102">
        <f>IF(J36="ja",tab!$K$3,tab!$K$4)</f>
        <v>0.5</v>
      </c>
      <c r="BC36" s="101">
        <f>IF(J36="ja",tab!$K$3*BA36,tab!$K$4*BA36)</f>
        <v>0</v>
      </c>
      <c r="BD36" s="53"/>
      <c r="BE36" s="103">
        <f t="shared" si="40"/>
        <v>0</v>
      </c>
      <c r="BF36" s="104">
        <f t="shared" si="8"/>
        <v>0</v>
      </c>
      <c r="BG36" s="104">
        <f t="shared" si="9"/>
        <v>0</v>
      </c>
      <c r="BH36" s="104">
        <f t="shared" si="41"/>
        <v>0</v>
      </c>
      <c r="BI36" s="77"/>
      <c r="BJ36" s="59"/>
      <c r="BK36" s="59"/>
      <c r="BL36" s="49">
        <f t="shared" si="10"/>
        <v>0</v>
      </c>
      <c r="BM36" s="49"/>
      <c r="BN36" s="49">
        <f t="shared" si="11"/>
        <v>0</v>
      </c>
      <c r="BO36" s="49">
        <f t="shared" si="12"/>
        <v>0</v>
      </c>
      <c r="BP36" s="49">
        <f t="shared" si="13"/>
        <v>0</v>
      </c>
      <c r="BQ36" s="49">
        <f t="shared" si="42"/>
        <v>0</v>
      </c>
      <c r="BR36" s="49">
        <f t="shared" si="14"/>
        <v>0</v>
      </c>
      <c r="BS36" s="84"/>
      <c r="BT36" s="49"/>
      <c r="BU36" s="49"/>
      <c r="BV36" s="49"/>
      <c r="BW36" s="49">
        <f t="shared" si="15"/>
        <v>0</v>
      </c>
      <c r="BX36" s="49">
        <f t="shared" si="16"/>
        <v>0</v>
      </c>
      <c r="BY36" s="105">
        <f t="shared" si="43"/>
        <v>0</v>
      </c>
      <c r="BZ36" s="49">
        <f t="shared" si="17"/>
        <v>0</v>
      </c>
      <c r="CA36" s="67"/>
      <c r="CB36" s="136">
        <f t="shared" si="44"/>
        <v>0</v>
      </c>
      <c r="CC36" s="137">
        <f t="shared" si="45"/>
        <v>0</v>
      </c>
      <c r="CD36" s="137">
        <f>BG36/((1+tab!$D$20)^2.5)</f>
        <v>0</v>
      </c>
      <c r="CE36" s="137">
        <f>BH36/((1+tab!$D$20)^6.5)</f>
        <v>0</v>
      </c>
      <c r="CF36" s="77"/>
    </row>
    <row r="37" spans="2:84" x14ac:dyDescent="0.2">
      <c r="B37" s="67"/>
      <c r="C37" s="47"/>
      <c r="D37" s="35"/>
      <c r="E37" s="36"/>
      <c r="F37" s="154" t="str">
        <f>IF(E37="","",E37+(tab!$D$17*365.25))</f>
        <v/>
      </c>
      <c r="G37" s="155">
        <f>ROUND(IF(E37="",0,(F37-I37)/tab!$D$11),0)</f>
        <v>0</v>
      </c>
      <c r="H37" s="37"/>
      <c r="I37" s="37"/>
      <c r="J37" s="38"/>
      <c r="K37" s="52"/>
      <c r="L37" s="94">
        <f>IF(K37/tab!$D$10/12&gt;tab!$D$12,tab!$D$12,K37/tab!$D$10/12)</f>
        <v>0</v>
      </c>
      <c r="M37" s="95">
        <f>ROUND(L37*tab!$D$10,0)</f>
        <v>0</v>
      </c>
      <c r="N37" s="95">
        <f t="shared" si="18"/>
        <v>0</v>
      </c>
      <c r="O37" s="95">
        <f t="shared" si="19"/>
        <v>0</v>
      </c>
      <c r="P37" s="96">
        <f t="shared" si="20"/>
        <v>0</v>
      </c>
      <c r="Q37" s="96">
        <f t="shared" si="21"/>
        <v>0</v>
      </c>
      <c r="R37" s="96">
        <f t="shared" si="22"/>
        <v>0</v>
      </c>
      <c r="S37" s="97">
        <f t="shared" si="23"/>
        <v>0</v>
      </c>
      <c r="T37" s="98">
        <f t="shared" si="24"/>
        <v>0</v>
      </c>
      <c r="U37" s="93">
        <f>(T37-I37)/tab!$D$11</f>
        <v>0</v>
      </c>
      <c r="V37" s="39">
        <f>((2*N37)+((S37-2)*O37))*(1+tab!$D$15)*(1+tab!$D$16)</f>
        <v>0</v>
      </c>
      <c r="W37" s="40">
        <f t="shared" si="25"/>
        <v>0</v>
      </c>
      <c r="X37" s="99">
        <f t="shared" si="26"/>
        <v>0</v>
      </c>
      <c r="Y37" s="39">
        <f>(IF(S37&lt;6,(S37-2)*(N37-O37),(W37*(N37-O37)))*(1+tab!$D$15)*(1+tab!$D$16))</f>
        <v>0</v>
      </c>
      <c r="Z37" s="127" t="s">
        <v>96</v>
      </c>
      <c r="AA37" s="58">
        <f t="shared" si="27"/>
        <v>0</v>
      </c>
      <c r="AB37" s="98">
        <f t="shared" si="28"/>
        <v>0</v>
      </c>
      <c r="AC37" s="39">
        <f>+(AA37*O37)*(1+tab!$D$15)*(1+tab!$D$16)</f>
        <v>0</v>
      </c>
      <c r="AD37" s="94">
        <f>IF(K37/tab!$D$10/12&gt;tab!$D$13,tab!$D$13,K37/tab!$D$10/12)</f>
        <v>0</v>
      </c>
      <c r="AE37" s="95">
        <f>ROUND(AD37*tab!$D$10,0)</f>
        <v>0</v>
      </c>
      <c r="AF37" s="95">
        <f t="shared" si="29"/>
        <v>0</v>
      </c>
      <c r="AG37" s="57" t="str">
        <f t="shared" si="30"/>
        <v>nee</v>
      </c>
      <c r="AH37" s="40">
        <v>34</v>
      </c>
      <c r="AI37" s="40">
        <f t="shared" si="31"/>
        <v>0</v>
      </c>
      <c r="AJ37" s="98">
        <f t="shared" si="32"/>
        <v>0</v>
      </c>
      <c r="AK37" s="39">
        <f>+(AI37*AF37)*(1+tab!$D$15)*(1+tab!$D$16)</f>
        <v>0</v>
      </c>
      <c r="AL37" s="57" t="str">
        <f t="shared" si="33"/>
        <v>nee</v>
      </c>
      <c r="AM37" s="50">
        <f t="shared" si="34"/>
        <v>0</v>
      </c>
      <c r="AN37" s="50" t="str">
        <f t="shared" si="35"/>
        <v/>
      </c>
      <c r="AO37" s="41">
        <f>IF(AE37*0.65&gt;tab!$D$14,tab!$D$14,AE37*0.65)</f>
        <v>0</v>
      </c>
      <c r="AP37" s="48">
        <f t="shared" si="36"/>
        <v>0</v>
      </c>
      <c r="AQ37" s="98">
        <f t="shared" si="37"/>
        <v>0</v>
      </c>
      <c r="AR37" s="39">
        <f>+AP37*AO37*(1+tab!$D$15)*(1+tab!$D$16)</f>
        <v>0</v>
      </c>
      <c r="AS37" s="39">
        <f t="shared" si="38"/>
        <v>0</v>
      </c>
      <c r="AT37" s="100">
        <f>IF(ROUND(IF(I37=0,0,((V$3-I37)/tab!$D$11)),0)&lt;1,0,ROUND(IF(I37=0,0,((V$3-I37)/tab!$D$11)),0))</f>
        <v>0</v>
      </c>
      <c r="AU37" s="41">
        <f t="shared" si="2"/>
        <v>0</v>
      </c>
      <c r="AV37" s="41">
        <f t="shared" si="3"/>
        <v>0</v>
      </c>
      <c r="AW37" s="41">
        <f t="shared" si="4"/>
        <v>0</v>
      </c>
      <c r="AX37" s="41">
        <f t="shared" si="5"/>
        <v>0</v>
      </c>
      <c r="AY37" s="41">
        <f t="shared" si="6"/>
        <v>0</v>
      </c>
      <c r="AZ37" s="39">
        <f t="shared" si="7"/>
        <v>0</v>
      </c>
      <c r="BA37" s="101">
        <f t="shared" si="39"/>
        <v>0</v>
      </c>
      <c r="BB37" s="102">
        <f>IF(J37="ja",tab!$K$3,tab!$K$4)</f>
        <v>0.5</v>
      </c>
      <c r="BC37" s="101">
        <f>IF(J37="ja",tab!$K$3*BA37,tab!$K$4*BA37)</f>
        <v>0</v>
      </c>
      <c r="BD37" s="53"/>
      <c r="BE37" s="103">
        <f t="shared" si="40"/>
        <v>0</v>
      </c>
      <c r="BF37" s="104">
        <f t="shared" si="8"/>
        <v>0</v>
      </c>
      <c r="BG37" s="104">
        <f t="shared" si="9"/>
        <v>0</v>
      </c>
      <c r="BH37" s="104">
        <f t="shared" si="41"/>
        <v>0</v>
      </c>
      <c r="BI37" s="77"/>
      <c r="BJ37" s="59"/>
      <c r="BK37" s="59"/>
      <c r="BL37" s="49">
        <f t="shared" si="10"/>
        <v>0</v>
      </c>
      <c r="BM37" s="49"/>
      <c r="BN37" s="49">
        <f t="shared" si="11"/>
        <v>0</v>
      </c>
      <c r="BO37" s="49">
        <f t="shared" si="12"/>
        <v>0</v>
      </c>
      <c r="BP37" s="49">
        <f t="shared" si="13"/>
        <v>0</v>
      </c>
      <c r="BQ37" s="49">
        <f t="shared" si="42"/>
        <v>0</v>
      </c>
      <c r="BR37" s="49">
        <f t="shared" si="14"/>
        <v>0</v>
      </c>
      <c r="BS37" s="84"/>
      <c r="BT37" s="49"/>
      <c r="BU37" s="49"/>
      <c r="BV37" s="49"/>
      <c r="BW37" s="49">
        <f t="shared" si="15"/>
        <v>0</v>
      </c>
      <c r="BX37" s="49">
        <f t="shared" si="16"/>
        <v>0</v>
      </c>
      <c r="BY37" s="105">
        <f t="shared" si="43"/>
        <v>0</v>
      </c>
      <c r="BZ37" s="49">
        <f t="shared" si="17"/>
        <v>0</v>
      </c>
      <c r="CA37" s="67"/>
      <c r="CB37" s="136">
        <f t="shared" si="44"/>
        <v>0</v>
      </c>
      <c r="CC37" s="137">
        <f t="shared" si="45"/>
        <v>0</v>
      </c>
      <c r="CD37" s="137">
        <f>BG37/((1+tab!$D$20)^2.5)</f>
        <v>0</v>
      </c>
      <c r="CE37" s="137">
        <f>BH37/((1+tab!$D$20)^6.5)</f>
        <v>0</v>
      </c>
      <c r="CF37" s="77"/>
    </row>
    <row r="38" spans="2:84" x14ac:dyDescent="0.2">
      <c r="B38" s="67"/>
      <c r="C38" s="47"/>
      <c r="D38" s="35"/>
      <c r="E38" s="36"/>
      <c r="F38" s="154" t="str">
        <f>IF(E38="","",E38+(tab!$D$17*365.25))</f>
        <v/>
      </c>
      <c r="G38" s="155">
        <f>ROUND(IF(E38="",0,(F38-I38)/tab!$D$11),0)</f>
        <v>0</v>
      </c>
      <c r="H38" s="37"/>
      <c r="I38" s="37"/>
      <c r="J38" s="38"/>
      <c r="K38" s="52"/>
      <c r="L38" s="94">
        <f>IF(K38/tab!$D$10/12&gt;tab!$D$12,tab!$D$12,K38/tab!$D$10/12)</f>
        <v>0</v>
      </c>
      <c r="M38" s="95">
        <f>ROUND(L38*tab!$D$10,0)</f>
        <v>0</v>
      </c>
      <c r="N38" s="95">
        <f t="shared" si="18"/>
        <v>0</v>
      </c>
      <c r="O38" s="95">
        <f t="shared" si="19"/>
        <v>0</v>
      </c>
      <c r="P38" s="96">
        <f t="shared" si="20"/>
        <v>0</v>
      </c>
      <c r="Q38" s="96">
        <f t="shared" si="21"/>
        <v>0</v>
      </c>
      <c r="R38" s="96">
        <f t="shared" si="22"/>
        <v>0</v>
      </c>
      <c r="S38" s="97">
        <f t="shared" si="23"/>
        <v>0</v>
      </c>
      <c r="T38" s="98">
        <f t="shared" si="24"/>
        <v>0</v>
      </c>
      <c r="U38" s="93">
        <f>(T38-I38)/tab!$D$11</f>
        <v>0</v>
      </c>
      <c r="V38" s="39">
        <f>((2*N38)+((S38-2)*O38))*(1+tab!$D$15)*(1+tab!$D$16)</f>
        <v>0</v>
      </c>
      <c r="W38" s="40">
        <f t="shared" si="25"/>
        <v>0</v>
      </c>
      <c r="X38" s="99">
        <f t="shared" si="26"/>
        <v>0</v>
      </c>
      <c r="Y38" s="39">
        <f>(IF(S38&lt;6,(S38-2)*(N38-O38),(W38*(N38-O38)))*(1+tab!$D$15)*(1+tab!$D$16))</f>
        <v>0</v>
      </c>
      <c r="Z38" s="127" t="s">
        <v>96</v>
      </c>
      <c r="AA38" s="58">
        <f t="shared" si="27"/>
        <v>0</v>
      </c>
      <c r="AB38" s="98">
        <f t="shared" si="28"/>
        <v>0</v>
      </c>
      <c r="AC38" s="39">
        <f>+(AA38*O38)*(1+tab!$D$15)*(1+tab!$D$16)</f>
        <v>0</v>
      </c>
      <c r="AD38" s="94">
        <f>IF(K38/tab!$D$10/12&gt;tab!$D$13,tab!$D$13,K38/tab!$D$10/12)</f>
        <v>0</v>
      </c>
      <c r="AE38" s="95">
        <f>ROUND(AD38*tab!$D$10,0)</f>
        <v>0</v>
      </c>
      <c r="AF38" s="95">
        <f t="shared" si="29"/>
        <v>0</v>
      </c>
      <c r="AG38" s="57" t="str">
        <f t="shared" si="30"/>
        <v>nee</v>
      </c>
      <c r="AH38" s="40">
        <v>34</v>
      </c>
      <c r="AI38" s="40">
        <f t="shared" si="31"/>
        <v>0</v>
      </c>
      <c r="AJ38" s="98">
        <f t="shared" si="32"/>
        <v>0</v>
      </c>
      <c r="AK38" s="39">
        <f>+(AI38*AF38)*(1+tab!$D$15)*(1+tab!$D$16)</f>
        <v>0</v>
      </c>
      <c r="AL38" s="57" t="str">
        <f t="shared" si="33"/>
        <v>nee</v>
      </c>
      <c r="AM38" s="50">
        <f t="shared" si="34"/>
        <v>0</v>
      </c>
      <c r="AN38" s="50" t="str">
        <f t="shared" si="35"/>
        <v/>
      </c>
      <c r="AO38" s="41">
        <f>IF(AE38*0.65&gt;tab!$D$14,tab!$D$14,AE38*0.65)</f>
        <v>0</v>
      </c>
      <c r="AP38" s="48">
        <f t="shared" si="36"/>
        <v>0</v>
      </c>
      <c r="AQ38" s="98">
        <f t="shared" si="37"/>
        <v>0</v>
      </c>
      <c r="AR38" s="39">
        <f>+AP38*AO38*(1+tab!$D$15)*(1+tab!$D$16)</f>
        <v>0</v>
      </c>
      <c r="AS38" s="39">
        <f t="shared" si="38"/>
        <v>0</v>
      </c>
      <c r="AT38" s="100">
        <f>IF(ROUND(IF(I38=0,0,((V$3-I38)/tab!$D$11)),0)&lt;1,0,ROUND(IF(I38=0,0,((V$3-I38)/tab!$D$11)),0))</f>
        <v>0</v>
      </c>
      <c r="AU38" s="41">
        <f t="shared" si="2"/>
        <v>0</v>
      </c>
      <c r="AV38" s="41">
        <f t="shared" si="3"/>
        <v>0</v>
      </c>
      <c r="AW38" s="41">
        <f t="shared" si="4"/>
        <v>0</v>
      </c>
      <c r="AX38" s="41">
        <f t="shared" si="5"/>
        <v>0</v>
      </c>
      <c r="AY38" s="41">
        <f t="shared" si="6"/>
        <v>0</v>
      </c>
      <c r="AZ38" s="39">
        <f t="shared" si="7"/>
        <v>0</v>
      </c>
      <c r="BA38" s="101">
        <f t="shared" si="39"/>
        <v>0</v>
      </c>
      <c r="BB38" s="102">
        <f>IF(J38="ja",tab!$K$3,tab!$K$4)</f>
        <v>0.5</v>
      </c>
      <c r="BC38" s="101">
        <f>IF(J38="ja",tab!$K$3*BA38,tab!$K$4*BA38)</f>
        <v>0</v>
      </c>
      <c r="BD38" s="53"/>
      <c r="BE38" s="103">
        <f t="shared" si="40"/>
        <v>0</v>
      </c>
      <c r="BF38" s="104">
        <f t="shared" si="8"/>
        <v>0</v>
      </c>
      <c r="BG38" s="104">
        <f t="shared" si="9"/>
        <v>0</v>
      </c>
      <c r="BH38" s="104">
        <f t="shared" si="41"/>
        <v>0</v>
      </c>
      <c r="BI38" s="77"/>
      <c r="BJ38" s="59"/>
      <c r="BK38" s="59"/>
      <c r="BL38" s="49">
        <f t="shared" si="10"/>
        <v>0</v>
      </c>
      <c r="BM38" s="49"/>
      <c r="BN38" s="49">
        <f t="shared" si="11"/>
        <v>0</v>
      </c>
      <c r="BO38" s="49">
        <f t="shared" si="12"/>
        <v>0</v>
      </c>
      <c r="BP38" s="49">
        <f t="shared" si="13"/>
        <v>0</v>
      </c>
      <c r="BQ38" s="49">
        <f t="shared" si="42"/>
        <v>0</v>
      </c>
      <c r="BR38" s="49">
        <f t="shared" si="14"/>
        <v>0</v>
      </c>
      <c r="BS38" s="84"/>
      <c r="BT38" s="49"/>
      <c r="BU38" s="49"/>
      <c r="BV38" s="49"/>
      <c r="BW38" s="49">
        <f t="shared" si="15"/>
        <v>0</v>
      </c>
      <c r="BX38" s="49">
        <f t="shared" si="16"/>
        <v>0</v>
      </c>
      <c r="BY38" s="105">
        <f t="shared" si="43"/>
        <v>0</v>
      </c>
      <c r="BZ38" s="49">
        <f t="shared" si="17"/>
        <v>0</v>
      </c>
      <c r="CA38" s="67"/>
      <c r="CB38" s="136">
        <f t="shared" si="44"/>
        <v>0</v>
      </c>
      <c r="CC38" s="137">
        <f t="shared" si="45"/>
        <v>0</v>
      </c>
      <c r="CD38" s="137">
        <f>BG38/((1+tab!$D$20)^2.5)</f>
        <v>0</v>
      </c>
      <c r="CE38" s="137">
        <f>BH38/((1+tab!$D$20)^6.5)</f>
        <v>0</v>
      </c>
      <c r="CF38" s="77"/>
    </row>
    <row r="39" spans="2:84" x14ac:dyDescent="0.2">
      <c r="B39" s="67"/>
      <c r="C39" s="47"/>
      <c r="D39" s="35"/>
      <c r="E39" s="36"/>
      <c r="F39" s="154" t="str">
        <f>IF(E39="","",E39+(tab!$D$17*365.25))</f>
        <v/>
      </c>
      <c r="G39" s="155">
        <f>ROUND(IF(E39="",0,(F39-I39)/tab!$D$11),0)</f>
        <v>0</v>
      </c>
      <c r="H39" s="37"/>
      <c r="I39" s="37"/>
      <c r="J39" s="38"/>
      <c r="K39" s="52"/>
      <c r="L39" s="94">
        <f>IF(K39/tab!$D$10/12&gt;tab!$D$12,tab!$D$12,K39/tab!$D$10/12)</f>
        <v>0</v>
      </c>
      <c r="M39" s="95">
        <f>ROUND(L39*tab!$D$10,0)</f>
        <v>0</v>
      </c>
      <c r="N39" s="95">
        <f t="shared" si="18"/>
        <v>0</v>
      </c>
      <c r="O39" s="95">
        <f t="shared" si="19"/>
        <v>0</v>
      </c>
      <c r="P39" s="96">
        <f t="shared" si="20"/>
        <v>0</v>
      </c>
      <c r="Q39" s="96">
        <f t="shared" si="21"/>
        <v>0</v>
      </c>
      <c r="R39" s="96">
        <f t="shared" si="22"/>
        <v>0</v>
      </c>
      <c r="S39" s="97">
        <f t="shared" si="23"/>
        <v>0</v>
      </c>
      <c r="T39" s="98">
        <f t="shared" si="24"/>
        <v>0</v>
      </c>
      <c r="U39" s="93">
        <f>(T39-I39)/tab!$D$11</f>
        <v>0</v>
      </c>
      <c r="V39" s="39">
        <f>((2*N39)+((S39-2)*O39))*(1+tab!$D$15)*(1+tab!$D$16)</f>
        <v>0</v>
      </c>
      <c r="W39" s="40">
        <f t="shared" si="25"/>
        <v>0</v>
      </c>
      <c r="X39" s="99">
        <f t="shared" si="26"/>
        <v>0</v>
      </c>
      <c r="Y39" s="39">
        <f>(IF(S39&lt;6,(S39-2)*(N39-O39),(W39*(N39-O39)))*(1+tab!$D$15)*(1+tab!$D$16))</f>
        <v>0</v>
      </c>
      <c r="Z39" s="127" t="s">
        <v>96</v>
      </c>
      <c r="AA39" s="58">
        <f t="shared" si="27"/>
        <v>0</v>
      </c>
      <c r="AB39" s="98">
        <f t="shared" si="28"/>
        <v>0</v>
      </c>
      <c r="AC39" s="39">
        <f>+(AA39*O39)*(1+tab!$D$15)*(1+tab!$D$16)</f>
        <v>0</v>
      </c>
      <c r="AD39" s="94">
        <f>IF(K39/tab!$D$10/12&gt;tab!$D$13,tab!$D$13,K39/tab!$D$10/12)</f>
        <v>0</v>
      </c>
      <c r="AE39" s="95">
        <f>ROUND(AD39*tab!$D$10,0)</f>
        <v>0</v>
      </c>
      <c r="AF39" s="95">
        <f t="shared" si="29"/>
        <v>0</v>
      </c>
      <c r="AG39" s="57" t="str">
        <f t="shared" si="30"/>
        <v>nee</v>
      </c>
      <c r="AH39" s="40">
        <v>34</v>
      </c>
      <c r="AI39" s="40">
        <f t="shared" si="31"/>
        <v>0</v>
      </c>
      <c r="AJ39" s="98">
        <f t="shared" si="32"/>
        <v>0</v>
      </c>
      <c r="AK39" s="39">
        <f>+(AI39*AF39)*(1+tab!$D$15)*(1+tab!$D$16)</f>
        <v>0</v>
      </c>
      <c r="AL39" s="57" t="str">
        <f t="shared" si="33"/>
        <v>nee</v>
      </c>
      <c r="AM39" s="50">
        <f t="shared" si="34"/>
        <v>0</v>
      </c>
      <c r="AN39" s="50" t="str">
        <f t="shared" si="35"/>
        <v/>
      </c>
      <c r="AO39" s="41">
        <f>IF(AE39*0.65&gt;tab!$D$14,tab!$D$14,AE39*0.65)</f>
        <v>0</v>
      </c>
      <c r="AP39" s="48">
        <f t="shared" si="36"/>
        <v>0</v>
      </c>
      <c r="AQ39" s="98">
        <f t="shared" si="37"/>
        <v>0</v>
      </c>
      <c r="AR39" s="39">
        <f>+AP39*AO39*(1+tab!$D$15)*(1+tab!$D$16)</f>
        <v>0</v>
      </c>
      <c r="AS39" s="39">
        <f t="shared" si="38"/>
        <v>0</v>
      </c>
      <c r="AT39" s="100">
        <f>IF(ROUND(IF(I39=0,0,((V$3-I39)/tab!$D$11)),0)&lt;1,0,ROUND(IF(I39=0,0,((V$3-I39)/tab!$D$11)),0))</f>
        <v>0</v>
      </c>
      <c r="AU39" s="41">
        <f t="shared" si="2"/>
        <v>0</v>
      </c>
      <c r="AV39" s="41">
        <f t="shared" si="3"/>
        <v>0</v>
      </c>
      <c r="AW39" s="41">
        <f t="shared" si="4"/>
        <v>0</v>
      </c>
      <c r="AX39" s="41">
        <f t="shared" si="5"/>
        <v>0</v>
      </c>
      <c r="AY39" s="41">
        <f t="shared" si="6"/>
        <v>0</v>
      </c>
      <c r="AZ39" s="39">
        <f t="shared" si="7"/>
        <v>0</v>
      </c>
      <c r="BA39" s="101">
        <f t="shared" si="39"/>
        <v>0</v>
      </c>
      <c r="BB39" s="102">
        <f>IF(J39="ja",tab!$K$3,tab!$K$4)</f>
        <v>0.5</v>
      </c>
      <c r="BC39" s="101">
        <f>IF(J39="ja",tab!$K$3*BA39,tab!$K$4*BA39)</f>
        <v>0</v>
      </c>
      <c r="BD39" s="53"/>
      <c r="BE39" s="103">
        <f t="shared" si="40"/>
        <v>0</v>
      </c>
      <c r="BF39" s="104">
        <f t="shared" si="8"/>
        <v>0</v>
      </c>
      <c r="BG39" s="104">
        <f t="shared" si="9"/>
        <v>0</v>
      </c>
      <c r="BH39" s="104">
        <f t="shared" si="41"/>
        <v>0</v>
      </c>
      <c r="BI39" s="77"/>
      <c r="BJ39" s="59"/>
      <c r="BK39" s="59"/>
      <c r="BL39" s="49">
        <f t="shared" si="10"/>
        <v>0</v>
      </c>
      <c r="BM39" s="49"/>
      <c r="BN39" s="49">
        <f t="shared" si="11"/>
        <v>0</v>
      </c>
      <c r="BO39" s="49">
        <f t="shared" si="12"/>
        <v>0</v>
      </c>
      <c r="BP39" s="49">
        <f t="shared" si="13"/>
        <v>0</v>
      </c>
      <c r="BQ39" s="49">
        <f t="shared" si="42"/>
        <v>0</v>
      </c>
      <c r="BR39" s="49">
        <f t="shared" si="14"/>
        <v>0</v>
      </c>
      <c r="BS39" s="84"/>
      <c r="BT39" s="49"/>
      <c r="BU39" s="49"/>
      <c r="BV39" s="49"/>
      <c r="BW39" s="49">
        <f t="shared" si="15"/>
        <v>0</v>
      </c>
      <c r="BX39" s="49">
        <f t="shared" si="16"/>
        <v>0</v>
      </c>
      <c r="BY39" s="105">
        <f t="shared" si="43"/>
        <v>0</v>
      </c>
      <c r="BZ39" s="49">
        <f t="shared" si="17"/>
        <v>0</v>
      </c>
      <c r="CA39" s="67"/>
      <c r="CB39" s="136">
        <f t="shared" si="44"/>
        <v>0</v>
      </c>
      <c r="CC39" s="137">
        <f t="shared" si="45"/>
        <v>0</v>
      </c>
      <c r="CD39" s="137">
        <f>BG39/((1+tab!$D$20)^2.5)</f>
        <v>0</v>
      </c>
      <c r="CE39" s="137">
        <f>BH39/((1+tab!$D$20)^6.5)</f>
        <v>0</v>
      </c>
      <c r="CF39" s="77"/>
    </row>
    <row r="40" spans="2:84" x14ac:dyDescent="0.2">
      <c r="B40" s="67"/>
      <c r="C40" s="47"/>
      <c r="D40" s="35"/>
      <c r="E40" s="36"/>
      <c r="F40" s="154" t="str">
        <f>IF(E40="","",E40+(tab!$D$17*365.25))</f>
        <v/>
      </c>
      <c r="G40" s="155">
        <f>ROUND(IF(E40="",0,(F40-I40)/tab!$D$11),0)</f>
        <v>0</v>
      </c>
      <c r="H40" s="37"/>
      <c r="I40" s="37"/>
      <c r="J40" s="38"/>
      <c r="K40" s="52"/>
      <c r="L40" s="94">
        <f>IF(K40/tab!$D$10/12&gt;tab!$D$12,tab!$D$12,K40/tab!$D$10/12)</f>
        <v>0</v>
      </c>
      <c r="M40" s="95">
        <f>ROUND(L40*tab!$D$10,0)</f>
        <v>0</v>
      </c>
      <c r="N40" s="95">
        <f t="shared" si="18"/>
        <v>0</v>
      </c>
      <c r="O40" s="95">
        <f t="shared" si="19"/>
        <v>0</v>
      </c>
      <c r="P40" s="96">
        <f t="shared" si="20"/>
        <v>0</v>
      </c>
      <c r="Q40" s="96">
        <f t="shared" si="21"/>
        <v>0</v>
      </c>
      <c r="R40" s="96">
        <f t="shared" si="22"/>
        <v>0</v>
      </c>
      <c r="S40" s="97">
        <f t="shared" si="23"/>
        <v>0</v>
      </c>
      <c r="T40" s="98">
        <f t="shared" si="24"/>
        <v>0</v>
      </c>
      <c r="U40" s="93">
        <f>(T40-I40)/tab!$D$11</f>
        <v>0</v>
      </c>
      <c r="V40" s="39">
        <f>((2*N40)+((S40-2)*O40))*(1+tab!$D$15)*(1+tab!$D$16)</f>
        <v>0</v>
      </c>
      <c r="W40" s="40">
        <f t="shared" si="25"/>
        <v>0</v>
      </c>
      <c r="X40" s="99">
        <f t="shared" si="26"/>
        <v>0</v>
      </c>
      <c r="Y40" s="39">
        <f>(IF(S40&lt;6,(S40-2)*(N40-O40),(W40*(N40-O40)))*(1+tab!$D$15)*(1+tab!$D$16))</f>
        <v>0</v>
      </c>
      <c r="Z40" s="127" t="s">
        <v>96</v>
      </c>
      <c r="AA40" s="58">
        <f t="shared" si="27"/>
        <v>0</v>
      </c>
      <c r="AB40" s="98">
        <f t="shared" si="28"/>
        <v>0</v>
      </c>
      <c r="AC40" s="39">
        <f>+(AA40*O40)*(1+tab!$D$15)*(1+tab!$D$16)</f>
        <v>0</v>
      </c>
      <c r="AD40" s="94">
        <f>IF(K40/tab!$D$10/12&gt;tab!$D$13,tab!$D$13,K40/tab!$D$10/12)</f>
        <v>0</v>
      </c>
      <c r="AE40" s="95">
        <f>ROUND(AD40*tab!$D$10,0)</f>
        <v>0</v>
      </c>
      <c r="AF40" s="95">
        <f t="shared" si="29"/>
        <v>0</v>
      </c>
      <c r="AG40" s="57" t="str">
        <f t="shared" si="30"/>
        <v>nee</v>
      </c>
      <c r="AH40" s="40">
        <v>34</v>
      </c>
      <c r="AI40" s="40">
        <f t="shared" si="31"/>
        <v>0</v>
      </c>
      <c r="AJ40" s="98">
        <f t="shared" si="32"/>
        <v>0</v>
      </c>
      <c r="AK40" s="39">
        <f>+(AI40*AF40)*(1+tab!$D$15)*(1+tab!$D$16)</f>
        <v>0</v>
      </c>
      <c r="AL40" s="57" t="str">
        <f t="shared" si="33"/>
        <v>nee</v>
      </c>
      <c r="AM40" s="50">
        <f t="shared" si="34"/>
        <v>0</v>
      </c>
      <c r="AN40" s="50" t="str">
        <f t="shared" si="35"/>
        <v/>
      </c>
      <c r="AO40" s="41">
        <f>IF(AE40*0.65&gt;tab!$D$14,tab!$D$14,AE40*0.65)</f>
        <v>0</v>
      </c>
      <c r="AP40" s="48">
        <f t="shared" si="36"/>
        <v>0</v>
      </c>
      <c r="AQ40" s="98">
        <f t="shared" si="37"/>
        <v>0</v>
      </c>
      <c r="AR40" s="39">
        <f>+AP40*AO40*(1+tab!$D$15)*(1+tab!$D$16)</f>
        <v>0</v>
      </c>
      <c r="AS40" s="39">
        <f t="shared" si="38"/>
        <v>0</v>
      </c>
      <c r="AT40" s="100">
        <f>IF(ROUND(IF(I40=0,0,((V$3-I40)/tab!$D$11)),0)&lt;1,0,ROUND(IF(I40=0,0,((V$3-I40)/tab!$D$11)),0))</f>
        <v>0</v>
      </c>
      <c r="AU40" s="41">
        <f t="shared" si="2"/>
        <v>0</v>
      </c>
      <c r="AV40" s="41">
        <f t="shared" si="3"/>
        <v>0</v>
      </c>
      <c r="AW40" s="41">
        <f t="shared" si="4"/>
        <v>0</v>
      </c>
      <c r="AX40" s="41">
        <f t="shared" si="5"/>
        <v>0</v>
      </c>
      <c r="AY40" s="41">
        <f t="shared" si="6"/>
        <v>0</v>
      </c>
      <c r="AZ40" s="39">
        <f t="shared" si="7"/>
        <v>0</v>
      </c>
      <c r="BA40" s="101">
        <f t="shared" si="39"/>
        <v>0</v>
      </c>
      <c r="BB40" s="102">
        <f>IF(J40="ja",tab!$K$3,tab!$K$4)</f>
        <v>0.5</v>
      </c>
      <c r="BC40" s="101">
        <f>IF(J40="ja",tab!$K$3*BA40,tab!$K$4*BA40)</f>
        <v>0</v>
      </c>
      <c r="BD40" s="53"/>
      <c r="BE40" s="103">
        <f t="shared" si="40"/>
        <v>0</v>
      </c>
      <c r="BF40" s="104">
        <f t="shared" si="8"/>
        <v>0</v>
      </c>
      <c r="BG40" s="104">
        <f t="shared" si="9"/>
        <v>0</v>
      </c>
      <c r="BH40" s="104">
        <f t="shared" si="41"/>
        <v>0</v>
      </c>
      <c r="BI40" s="77"/>
      <c r="BJ40" s="59"/>
      <c r="BK40" s="59"/>
      <c r="BL40" s="49">
        <f t="shared" si="10"/>
        <v>0</v>
      </c>
      <c r="BM40" s="49"/>
      <c r="BN40" s="49">
        <f t="shared" si="11"/>
        <v>0</v>
      </c>
      <c r="BO40" s="49">
        <f t="shared" si="12"/>
        <v>0</v>
      </c>
      <c r="BP40" s="49">
        <f t="shared" si="13"/>
        <v>0</v>
      </c>
      <c r="BQ40" s="49">
        <f t="shared" si="42"/>
        <v>0</v>
      </c>
      <c r="BR40" s="49">
        <f t="shared" si="14"/>
        <v>0</v>
      </c>
      <c r="BS40" s="84"/>
      <c r="BT40" s="49"/>
      <c r="BU40" s="49"/>
      <c r="BV40" s="49"/>
      <c r="BW40" s="49">
        <f t="shared" si="15"/>
        <v>0</v>
      </c>
      <c r="BX40" s="49">
        <f t="shared" si="16"/>
        <v>0</v>
      </c>
      <c r="BY40" s="105">
        <f t="shared" si="43"/>
        <v>0</v>
      </c>
      <c r="BZ40" s="49">
        <f t="shared" si="17"/>
        <v>0</v>
      </c>
      <c r="CA40" s="67"/>
      <c r="CB40" s="136">
        <f t="shared" si="44"/>
        <v>0</v>
      </c>
      <c r="CC40" s="137">
        <f t="shared" si="45"/>
        <v>0</v>
      </c>
      <c r="CD40" s="137">
        <f>BG40/((1+tab!$D$20)^2.5)</f>
        <v>0</v>
      </c>
      <c r="CE40" s="137">
        <f>BH40/((1+tab!$D$20)^6.5)</f>
        <v>0</v>
      </c>
      <c r="CF40" s="77"/>
    </row>
    <row r="41" spans="2:84" x14ac:dyDescent="0.2">
      <c r="B41" s="67"/>
      <c r="C41" s="47"/>
      <c r="D41" s="35"/>
      <c r="E41" s="36"/>
      <c r="F41" s="154" t="str">
        <f>IF(E41="","",E41+(tab!$D$17*365.25))</f>
        <v/>
      </c>
      <c r="G41" s="155">
        <f>ROUND(IF(E41="",0,(F41-I41)/tab!$D$11),0)</f>
        <v>0</v>
      </c>
      <c r="H41" s="37"/>
      <c r="I41" s="37"/>
      <c r="J41" s="38"/>
      <c r="K41" s="52"/>
      <c r="L41" s="94">
        <f>IF(K41/tab!$D$10/12&gt;tab!$D$12,tab!$D$12,K41/tab!$D$10/12)</f>
        <v>0</v>
      </c>
      <c r="M41" s="95">
        <f>ROUND(L41*tab!$D$10,0)</f>
        <v>0</v>
      </c>
      <c r="N41" s="95">
        <f t="shared" si="18"/>
        <v>0</v>
      </c>
      <c r="O41" s="95">
        <f t="shared" si="19"/>
        <v>0</v>
      </c>
      <c r="P41" s="96">
        <f t="shared" si="20"/>
        <v>0</v>
      </c>
      <c r="Q41" s="96">
        <f t="shared" si="21"/>
        <v>0</v>
      </c>
      <c r="R41" s="96">
        <f t="shared" si="22"/>
        <v>0</v>
      </c>
      <c r="S41" s="97">
        <f t="shared" si="23"/>
        <v>0</v>
      </c>
      <c r="T41" s="98">
        <f t="shared" si="24"/>
        <v>0</v>
      </c>
      <c r="U41" s="93">
        <f>(T41-I41)/tab!$D$11</f>
        <v>0</v>
      </c>
      <c r="V41" s="39">
        <f>((2*N41)+((S41-2)*O41))*(1+tab!$D$15)*(1+tab!$D$16)</f>
        <v>0</v>
      </c>
      <c r="W41" s="40">
        <f t="shared" si="25"/>
        <v>0</v>
      </c>
      <c r="X41" s="99">
        <f t="shared" si="26"/>
        <v>0</v>
      </c>
      <c r="Y41" s="39">
        <f>(IF(S41&lt;6,(S41-2)*(N41-O41),(W41*(N41-O41)))*(1+tab!$D$15)*(1+tab!$D$16))</f>
        <v>0</v>
      </c>
      <c r="Z41" s="127" t="s">
        <v>96</v>
      </c>
      <c r="AA41" s="58">
        <f t="shared" si="27"/>
        <v>0</v>
      </c>
      <c r="AB41" s="98">
        <f t="shared" si="28"/>
        <v>0</v>
      </c>
      <c r="AC41" s="39">
        <f>+(AA41*O41)*(1+tab!$D$15)*(1+tab!$D$16)</f>
        <v>0</v>
      </c>
      <c r="AD41" s="94">
        <f>IF(K41/tab!$D$10/12&gt;tab!$D$13,tab!$D$13,K41/tab!$D$10/12)</f>
        <v>0</v>
      </c>
      <c r="AE41" s="95">
        <f>ROUND(AD41*tab!$D$10,0)</f>
        <v>0</v>
      </c>
      <c r="AF41" s="95">
        <f t="shared" si="29"/>
        <v>0</v>
      </c>
      <c r="AG41" s="57" t="str">
        <f t="shared" si="30"/>
        <v>nee</v>
      </c>
      <c r="AH41" s="40">
        <v>34</v>
      </c>
      <c r="AI41" s="40">
        <f t="shared" si="31"/>
        <v>0</v>
      </c>
      <c r="AJ41" s="98">
        <f t="shared" si="32"/>
        <v>0</v>
      </c>
      <c r="AK41" s="39">
        <f>+(AI41*AF41)*(1+tab!$D$15)*(1+tab!$D$16)</f>
        <v>0</v>
      </c>
      <c r="AL41" s="57" t="str">
        <f t="shared" si="33"/>
        <v>nee</v>
      </c>
      <c r="AM41" s="50">
        <f t="shared" si="34"/>
        <v>0</v>
      </c>
      <c r="AN41" s="50" t="str">
        <f t="shared" si="35"/>
        <v/>
      </c>
      <c r="AO41" s="41">
        <f>IF(AE41*0.65&gt;tab!$D$14,tab!$D$14,AE41*0.65)</f>
        <v>0</v>
      </c>
      <c r="AP41" s="48">
        <f t="shared" si="36"/>
        <v>0</v>
      </c>
      <c r="AQ41" s="98">
        <f t="shared" si="37"/>
        <v>0</v>
      </c>
      <c r="AR41" s="39">
        <f>+AP41*AO41*(1+tab!$D$15)*(1+tab!$D$16)</f>
        <v>0</v>
      </c>
      <c r="AS41" s="39">
        <f t="shared" si="38"/>
        <v>0</v>
      </c>
      <c r="AT41" s="100">
        <f>IF(ROUND(IF(I41=0,0,((V$3-I41)/tab!$D$11)),0)&lt;1,0,ROUND(IF(I41=0,0,((V$3-I41)/tab!$D$11)),0))</f>
        <v>0</v>
      </c>
      <c r="AU41" s="41">
        <f t="shared" si="2"/>
        <v>0</v>
      </c>
      <c r="AV41" s="41">
        <f t="shared" si="3"/>
        <v>0</v>
      </c>
      <c r="AW41" s="41">
        <f t="shared" si="4"/>
        <v>0</v>
      </c>
      <c r="AX41" s="41">
        <f t="shared" si="5"/>
        <v>0</v>
      </c>
      <c r="AY41" s="41">
        <f t="shared" si="6"/>
        <v>0</v>
      </c>
      <c r="AZ41" s="39">
        <f t="shared" si="7"/>
        <v>0</v>
      </c>
      <c r="BA41" s="101">
        <f t="shared" si="39"/>
        <v>0</v>
      </c>
      <c r="BB41" s="102">
        <f>IF(J41="ja",tab!$K$3,tab!$K$4)</f>
        <v>0.5</v>
      </c>
      <c r="BC41" s="101">
        <f>IF(J41="ja",tab!$K$3*BA41,tab!$K$4*BA41)</f>
        <v>0</v>
      </c>
      <c r="BD41" s="53"/>
      <c r="BE41" s="103">
        <f t="shared" si="40"/>
        <v>0</v>
      </c>
      <c r="BF41" s="104">
        <f t="shared" si="8"/>
        <v>0</v>
      </c>
      <c r="BG41" s="104">
        <f t="shared" si="9"/>
        <v>0</v>
      </c>
      <c r="BH41" s="104">
        <f t="shared" si="41"/>
        <v>0</v>
      </c>
      <c r="BI41" s="77"/>
      <c r="BJ41" s="59"/>
      <c r="BK41" s="59"/>
      <c r="BL41" s="49">
        <f t="shared" si="10"/>
        <v>0</v>
      </c>
      <c r="BM41" s="49"/>
      <c r="BN41" s="49">
        <f t="shared" si="11"/>
        <v>0</v>
      </c>
      <c r="BO41" s="49">
        <f t="shared" si="12"/>
        <v>0</v>
      </c>
      <c r="BP41" s="49">
        <f t="shared" si="13"/>
        <v>0</v>
      </c>
      <c r="BQ41" s="49">
        <f t="shared" si="42"/>
        <v>0</v>
      </c>
      <c r="BR41" s="49">
        <f t="shared" si="14"/>
        <v>0</v>
      </c>
      <c r="BS41" s="84"/>
      <c r="BT41" s="49"/>
      <c r="BU41" s="49"/>
      <c r="BV41" s="49"/>
      <c r="BW41" s="49">
        <f t="shared" si="15"/>
        <v>0</v>
      </c>
      <c r="BX41" s="49">
        <f t="shared" si="16"/>
        <v>0</v>
      </c>
      <c r="BY41" s="105">
        <f t="shared" si="43"/>
        <v>0</v>
      </c>
      <c r="BZ41" s="49">
        <f t="shared" si="17"/>
        <v>0</v>
      </c>
      <c r="CA41" s="67"/>
      <c r="CB41" s="136">
        <f t="shared" si="44"/>
        <v>0</v>
      </c>
      <c r="CC41" s="137">
        <f t="shared" si="45"/>
        <v>0</v>
      </c>
      <c r="CD41" s="137">
        <f>BG41/((1+tab!$D$20)^2.5)</f>
        <v>0</v>
      </c>
      <c r="CE41" s="137">
        <f>BH41/((1+tab!$D$20)^6.5)</f>
        <v>0</v>
      </c>
      <c r="CF41" s="77"/>
    </row>
    <row r="42" spans="2:84" x14ac:dyDescent="0.2">
      <c r="B42" s="67"/>
      <c r="C42" s="47"/>
      <c r="D42" s="35"/>
      <c r="E42" s="36"/>
      <c r="F42" s="154" t="str">
        <f>IF(E42="","",E42+(tab!$D$17*365.25))</f>
        <v/>
      </c>
      <c r="G42" s="155">
        <f>ROUND(IF(E42="",0,(F42-I42)/tab!$D$11),0)</f>
        <v>0</v>
      </c>
      <c r="H42" s="37"/>
      <c r="I42" s="37"/>
      <c r="J42" s="38"/>
      <c r="K42" s="52"/>
      <c r="L42" s="94">
        <f>IF(K42/tab!$D$10/12&gt;tab!$D$12,tab!$D$12,K42/tab!$D$10/12)</f>
        <v>0</v>
      </c>
      <c r="M42" s="95">
        <f>ROUND(L42*tab!$D$10,0)</f>
        <v>0</v>
      </c>
      <c r="N42" s="95">
        <f t="shared" si="18"/>
        <v>0</v>
      </c>
      <c r="O42" s="95">
        <f t="shared" si="19"/>
        <v>0</v>
      </c>
      <c r="P42" s="96">
        <f t="shared" si="20"/>
        <v>0</v>
      </c>
      <c r="Q42" s="96">
        <f t="shared" si="21"/>
        <v>0</v>
      </c>
      <c r="R42" s="96">
        <f t="shared" si="22"/>
        <v>0</v>
      </c>
      <c r="S42" s="97">
        <f t="shared" si="23"/>
        <v>0</v>
      </c>
      <c r="T42" s="98">
        <f t="shared" si="24"/>
        <v>0</v>
      </c>
      <c r="U42" s="93">
        <f>(T42-I42)/tab!$D$11</f>
        <v>0</v>
      </c>
      <c r="V42" s="39">
        <f>((2*N42)+((S42-2)*O42))*(1+tab!$D$15)*(1+tab!$D$16)</f>
        <v>0</v>
      </c>
      <c r="W42" s="40">
        <f t="shared" si="25"/>
        <v>0</v>
      </c>
      <c r="X42" s="99">
        <f t="shared" si="26"/>
        <v>0</v>
      </c>
      <c r="Y42" s="39">
        <f>(IF(S42&lt;6,(S42-2)*(N42-O42),(W42*(N42-O42)))*(1+tab!$D$15)*(1+tab!$D$16))</f>
        <v>0</v>
      </c>
      <c r="Z42" s="127" t="s">
        <v>96</v>
      </c>
      <c r="AA42" s="58">
        <f t="shared" si="27"/>
        <v>0</v>
      </c>
      <c r="AB42" s="98">
        <f t="shared" si="28"/>
        <v>0</v>
      </c>
      <c r="AC42" s="39">
        <f>+(AA42*O42)*(1+tab!$D$15)*(1+tab!$D$16)</f>
        <v>0</v>
      </c>
      <c r="AD42" s="94">
        <f>IF(K42/tab!$D$10/12&gt;tab!$D$13,tab!$D$13,K42/tab!$D$10/12)</f>
        <v>0</v>
      </c>
      <c r="AE42" s="95">
        <f>ROUND(AD42*tab!$D$10,0)</f>
        <v>0</v>
      </c>
      <c r="AF42" s="95">
        <f t="shared" si="29"/>
        <v>0</v>
      </c>
      <c r="AG42" s="57" t="str">
        <f t="shared" si="30"/>
        <v>nee</v>
      </c>
      <c r="AH42" s="40">
        <v>34</v>
      </c>
      <c r="AI42" s="40">
        <f t="shared" si="31"/>
        <v>0</v>
      </c>
      <c r="AJ42" s="98">
        <f t="shared" si="32"/>
        <v>0</v>
      </c>
      <c r="AK42" s="39">
        <f>+(AI42*AF42)*(1+tab!$D$15)*(1+tab!$D$16)</f>
        <v>0</v>
      </c>
      <c r="AL42" s="57" t="str">
        <f t="shared" si="33"/>
        <v>nee</v>
      </c>
      <c r="AM42" s="50">
        <f t="shared" si="34"/>
        <v>0</v>
      </c>
      <c r="AN42" s="50" t="str">
        <f t="shared" si="35"/>
        <v/>
      </c>
      <c r="AO42" s="41">
        <f>IF(AE42*0.65&gt;tab!$D$14,tab!$D$14,AE42*0.65)</f>
        <v>0</v>
      </c>
      <c r="AP42" s="48">
        <f t="shared" si="36"/>
        <v>0</v>
      </c>
      <c r="AQ42" s="98">
        <f t="shared" si="37"/>
        <v>0</v>
      </c>
      <c r="AR42" s="39">
        <f>+AP42*AO42*(1+tab!$D$15)*(1+tab!$D$16)</f>
        <v>0</v>
      </c>
      <c r="AS42" s="39">
        <f t="shared" si="38"/>
        <v>0</v>
      </c>
      <c r="AT42" s="100">
        <f>IF(ROUND(IF(I42=0,0,((V$3-I42)/tab!$D$11)),0)&lt;1,0,ROUND(IF(I42=0,0,((V$3-I42)/tab!$D$11)),0))</f>
        <v>0</v>
      </c>
      <c r="AU42" s="41">
        <f t="shared" si="2"/>
        <v>0</v>
      </c>
      <c r="AV42" s="41">
        <f t="shared" si="3"/>
        <v>0</v>
      </c>
      <c r="AW42" s="41">
        <f t="shared" si="4"/>
        <v>0</v>
      </c>
      <c r="AX42" s="41">
        <f t="shared" si="5"/>
        <v>0</v>
      </c>
      <c r="AY42" s="41">
        <f t="shared" si="6"/>
        <v>0</v>
      </c>
      <c r="AZ42" s="39">
        <f t="shared" si="7"/>
        <v>0</v>
      </c>
      <c r="BA42" s="101">
        <f t="shared" si="39"/>
        <v>0</v>
      </c>
      <c r="BB42" s="102">
        <f>IF(J42="ja",tab!$K$3,tab!$K$4)</f>
        <v>0.5</v>
      </c>
      <c r="BC42" s="101">
        <f>IF(J42="ja",tab!$K$3*BA42,tab!$K$4*BA42)</f>
        <v>0</v>
      </c>
      <c r="BD42" s="53"/>
      <c r="BE42" s="103">
        <f t="shared" si="40"/>
        <v>0</v>
      </c>
      <c r="BF42" s="104">
        <f t="shared" si="8"/>
        <v>0</v>
      </c>
      <c r="BG42" s="104">
        <f t="shared" si="9"/>
        <v>0</v>
      </c>
      <c r="BH42" s="104">
        <f t="shared" si="41"/>
        <v>0</v>
      </c>
      <c r="BI42" s="77"/>
      <c r="BJ42" s="59"/>
      <c r="BK42" s="59"/>
      <c r="BL42" s="49">
        <f t="shared" si="10"/>
        <v>0</v>
      </c>
      <c r="BM42" s="49"/>
      <c r="BN42" s="49">
        <f t="shared" si="11"/>
        <v>0</v>
      </c>
      <c r="BO42" s="49">
        <f t="shared" si="12"/>
        <v>0</v>
      </c>
      <c r="BP42" s="49">
        <f t="shared" si="13"/>
        <v>0</v>
      </c>
      <c r="BQ42" s="49">
        <f t="shared" si="42"/>
        <v>0</v>
      </c>
      <c r="BR42" s="49">
        <f t="shared" si="14"/>
        <v>0</v>
      </c>
      <c r="BS42" s="84"/>
      <c r="BT42" s="49"/>
      <c r="BU42" s="49"/>
      <c r="BV42" s="49"/>
      <c r="BW42" s="49">
        <f t="shared" si="15"/>
        <v>0</v>
      </c>
      <c r="BX42" s="49">
        <f t="shared" si="16"/>
        <v>0</v>
      </c>
      <c r="BY42" s="105">
        <f t="shared" si="43"/>
        <v>0</v>
      </c>
      <c r="BZ42" s="49">
        <f t="shared" si="17"/>
        <v>0</v>
      </c>
      <c r="CA42" s="67"/>
      <c r="CB42" s="136">
        <f t="shared" si="44"/>
        <v>0</v>
      </c>
      <c r="CC42" s="137">
        <f t="shared" si="45"/>
        <v>0</v>
      </c>
      <c r="CD42" s="137">
        <f>BG42/((1+tab!$D$20)^2.5)</f>
        <v>0</v>
      </c>
      <c r="CE42" s="137">
        <f>BH42/((1+tab!$D$20)^6.5)</f>
        <v>0</v>
      </c>
      <c r="CF42" s="77"/>
    </row>
    <row r="43" spans="2:84" x14ac:dyDescent="0.2">
      <c r="B43" s="67"/>
      <c r="C43" s="76"/>
      <c r="D43" s="76"/>
      <c r="E43" s="106"/>
      <c r="F43" s="107"/>
      <c r="G43" s="108"/>
      <c r="H43" s="108"/>
      <c r="I43" s="109"/>
      <c r="J43" s="141"/>
      <c r="K43" s="51"/>
      <c r="L43" s="110"/>
      <c r="M43" s="110"/>
      <c r="N43" s="111"/>
      <c r="O43" s="111"/>
      <c r="P43" s="112"/>
      <c r="Q43" s="112"/>
      <c r="R43" s="112"/>
      <c r="S43" s="112"/>
      <c r="T43" s="113"/>
      <c r="U43" s="113"/>
      <c r="V43" s="51"/>
      <c r="W43" s="54"/>
      <c r="X43" s="54"/>
      <c r="Y43" s="51"/>
      <c r="Z43" s="51"/>
      <c r="AA43" s="54"/>
      <c r="AB43" s="54"/>
      <c r="AC43" s="51"/>
      <c r="AD43" s="110"/>
      <c r="AE43" s="110"/>
      <c r="AF43" s="110"/>
      <c r="AG43" s="114"/>
      <c r="AH43" s="54"/>
      <c r="AI43" s="54"/>
      <c r="AJ43" s="54"/>
      <c r="AK43" s="51"/>
      <c r="AL43" s="114"/>
      <c r="AM43" s="114"/>
      <c r="AN43" s="114"/>
      <c r="AO43" s="55"/>
      <c r="AP43" s="55"/>
      <c r="AQ43" s="55"/>
      <c r="AR43" s="55"/>
      <c r="AS43" s="51"/>
      <c r="AT43" s="115"/>
      <c r="AU43" s="55"/>
      <c r="AV43" s="55"/>
      <c r="AW43" s="55"/>
      <c r="AX43" s="55"/>
      <c r="AY43" s="55"/>
      <c r="AZ43" s="55"/>
      <c r="BA43" s="116"/>
      <c r="BB43" s="116"/>
      <c r="BC43" s="116"/>
      <c r="BD43" s="56"/>
      <c r="BE43" s="117"/>
      <c r="BF43" s="117"/>
      <c r="BG43" s="117"/>
      <c r="BH43" s="117"/>
      <c r="BI43" s="77"/>
      <c r="BJ43" s="59"/>
      <c r="BK43" s="59"/>
      <c r="BL43" s="59"/>
      <c r="BM43" s="59"/>
      <c r="BN43" s="59"/>
      <c r="BO43" s="59"/>
      <c r="BP43" s="59"/>
      <c r="BQ43" s="59"/>
      <c r="BR43" s="118"/>
      <c r="BS43" s="59"/>
      <c r="BT43" s="59"/>
      <c r="BU43" s="59"/>
      <c r="BV43" s="59"/>
      <c r="BW43" s="59"/>
      <c r="BX43" s="59"/>
      <c r="BY43" s="59"/>
      <c r="BZ43" s="59"/>
      <c r="CA43" s="67"/>
      <c r="CB43" s="117"/>
      <c r="CC43" s="117"/>
      <c r="CD43" s="117"/>
      <c r="CE43" s="117"/>
      <c r="CF43" s="77"/>
    </row>
    <row r="44" spans="2:84" x14ac:dyDescent="0.2">
      <c r="B44" s="119"/>
      <c r="C44" s="120"/>
      <c r="D44" s="120"/>
      <c r="E44" s="120"/>
      <c r="F44" s="121"/>
      <c r="G44" s="121"/>
      <c r="H44" s="121"/>
      <c r="I44" s="120"/>
      <c r="J44" s="120"/>
      <c r="K44" s="122"/>
      <c r="L44" s="123"/>
      <c r="M44" s="123"/>
      <c r="N44" s="123"/>
      <c r="O44" s="123"/>
      <c r="P44" s="122"/>
      <c r="Q44" s="122"/>
      <c r="R44" s="122"/>
      <c r="S44" s="122"/>
      <c r="T44" s="123"/>
      <c r="U44" s="123"/>
      <c r="V44" s="122"/>
      <c r="W44" s="123"/>
      <c r="X44" s="123"/>
      <c r="Y44" s="122"/>
      <c r="Z44" s="122"/>
      <c r="AA44" s="123"/>
      <c r="AB44" s="123"/>
      <c r="AC44" s="122"/>
      <c r="AD44" s="123"/>
      <c r="AE44" s="123"/>
      <c r="AF44" s="123"/>
      <c r="AG44" s="122"/>
      <c r="AH44" s="124"/>
      <c r="AI44" s="124"/>
      <c r="AJ44" s="124"/>
      <c r="AK44" s="122"/>
      <c r="AL44" s="122"/>
      <c r="AM44" s="122"/>
      <c r="AN44" s="122"/>
      <c r="AO44" s="123"/>
      <c r="AP44" s="123"/>
      <c r="AQ44" s="123"/>
      <c r="AR44" s="122"/>
      <c r="AS44" s="122"/>
      <c r="AT44" s="122"/>
      <c r="AU44" s="123"/>
      <c r="AV44" s="123"/>
      <c r="AW44" s="123"/>
      <c r="AX44" s="123"/>
      <c r="AY44" s="123"/>
      <c r="AZ44" s="123"/>
      <c r="BA44" s="122"/>
      <c r="BB44" s="122"/>
      <c r="BC44" s="122"/>
      <c r="BD44" s="125"/>
      <c r="BE44" s="122"/>
      <c r="BF44" s="122"/>
      <c r="BG44" s="122"/>
      <c r="BH44" s="122"/>
      <c r="BI44" s="126"/>
      <c r="BJ44" s="59"/>
      <c r="BK44" s="59"/>
      <c r="BL44" s="59"/>
      <c r="BM44" s="59"/>
      <c r="BN44" s="59"/>
      <c r="BO44" s="59"/>
      <c r="BP44" s="59"/>
      <c r="BQ44" s="59"/>
      <c r="BR44" s="118"/>
      <c r="BS44" s="59"/>
      <c r="BT44" s="59"/>
      <c r="BU44" s="59"/>
      <c r="BV44" s="59"/>
      <c r="BW44" s="59"/>
      <c r="BX44" s="59"/>
      <c r="BY44" s="59"/>
      <c r="BZ44" s="59"/>
      <c r="CA44" s="119"/>
      <c r="CB44" s="122"/>
      <c r="CC44" s="122"/>
      <c r="CD44" s="122"/>
      <c r="CE44" s="122"/>
      <c r="CF44" s="126"/>
    </row>
  </sheetData>
  <sheetProtection algorithmName="SHA-512" hashValue="ep+lKE+BIHtC8q2mJFVkM08IK2RtnxVyqMqsLVo3A+N21yyCEfEzOl6Byph6BycGv40AuB1tKHMTciJz07/VRg==" saltValue="PuiVdY9UeBBRYBDLugcrEg==" spinCount="100000" sheet="1" objects="1" scenarios="1"/>
  <mergeCells count="2">
    <mergeCell ref="AU6:AY6"/>
    <mergeCell ref="CC6:CE6"/>
  </mergeCells>
  <phoneticPr fontId="43" type="noConversion"/>
  <pageMargins left="0.25" right="0.25" top="0.75" bottom="0.75" header="0.3" footer="0.3"/>
  <pageSetup paperSize="9" scale="35" orientation="landscape" horizontalDpi="4294967293" verticalDpi="4294967293"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CD58AD3-AD89-47B0-8505-7317E59F6692}">
          <x14:formula1>
            <xm:f>tab!$J$6:$J$7</xm:f>
          </x14:formula1>
          <xm:sqref>AG8:AG43 AM43:AN43 AL8:AL43</xm:sqref>
        </x14:dataValidation>
        <x14:dataValidation type="list" allowBlank="1" showInputMessage="1" showErrorMessage="1" xr:uid="{ED11285F-05A5-46F8-A351-C009C012DEFB}">
          <x14:formula1>
            <xm:f>tab!$J$3:$J$4</xm:f>
          </x14:formula1>
          <xm:sqref>Z8:Z42 J8:J43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1"/>
  <sheetViews>
    <sheetView zoomScaleNormal="100" workbookViewId="0">
      <selection activeCell="F24" sqref="F24"/>
    </sheetView>
  </sheetViews>
  <sheetFormatPr defaultColWidth="9.140625" defaultRowHeight="12" customHeight="1" x14ac:dyDescent="0.2"/>
  <cols>
    <col min="1" max="1" width="15.42578125" style="1" customWidth="1"/>
    <col min="2" max="3" width="8.5703125" style="5" customWidth="1"/>
    <col min="4" max="4" width="9.42578125" style="5" customWidth="1"/>
    <col min="5" max="9" width="8.5703125" style="5" customWidth="1"/>
    <col min="10" max="10" width="8.5703125" style="1" customWidth="1"/>
    <col min="11" max="15" width="12.85546875" style="1" customWidth="1"/>
    <col min="16" max="17" width="10.42578125" style="1" bestFit="1" customWidth="1"/>
    <col min="18" max="16384" width="9.140625" style="1"/>
  </cols>
  <sheetData>
    <row r="1" spans="1:16" ht="12" customHeight="1" x14ac:dyDescent="0.2">
      <c r="A1" s="1" t="s">
        <v>97</v>
      </c>
      <c r="B1" s="161">
        <v>2023</v>
      </c>
      <c r="C1" s="161"/>
      <c r="D1" s="162">
        <v>45291</v>
      </c>
      <c r="E1" s="162"/>
    </row>
    <row r="2" spans="1:16" ht="12" customHeight="1" x14ac:dyDescent="0.2">
      <c r="B2" s="1"/>
      <c r="C2" s="1"/>
      <c r="D2" s="1"/>
      <c r="E2" s="1"/>
      <c r="F2" s="1"/>
      <c r="G2" s="1"/>
      <c r="H2" s="1"/>
      <c r="I2" s="1"/>
      <c r="K2" s="1" t="s">
        <v>98</v>
      </c>
    </row>
    <row r="3" spans="1:16" ht="12" customHeight="1" x14ac:dyDescent="0.2">
      <c r="A3" s="1" t="s">
        <v>99</v>
      </c>
      <c r="B3" s="1" t="s">
        <v>100</v>
      </c>
      <c r="C3" s="1"/>
      <c r="D3" s="1"/>
      <c r="E3" s="1"/>
      <c r="F3" s="1"/>
      <c r="G3" s="1"/>
      <c r="J3" s="1" t="s">
        <v>96</v>
      </c>
      <c r="K3" s="142">
        <v>0.1</v>
      </c>
    </row>
    <row r="4" spans="1:16" ht="12" customHeight="1" x14ac:dyDescent="0.2">
      <c r="B4" s="1"/>
      <c r="C4" s="1"/>
      <c r="D4" s="1"/>
      <c r="E4" s="1"/>
      <c r="F4" s="1"/>
      <c r="G4" s="1"/>
      <c r="J4" s="1" t="s">
        <v>95</v>
      </c>
      <c r="K4" s="143">
        <v>0.5</v>
      </c>
    </row>
    <row r="5" spans="1:16" ht="12" customHeight="1" x14ac:dyDescent="0.2">
      <c r="B5" s="1"/>
      <c r="C5" s="1"/>
      <c r="D5" s="1"/>
      <c r="E5" s="1"/>
      <c r="F5" s="1"/>
      <c r="G5" s="1"/>
      <c r="K5" s="14"/>
      <c r="L5" s="12"/>
      <c r="M5" s="12"/>
      <c r="N5" s="12"/>
      <c r="O5" s="13"/>
      <c r="P5" s="3"/>
    </row>
    <row r="6" spans="1:16" ht="12" customHeight="1" x14ac:dyDescent="0.2">
      <c r="A6" s="1" t="s">
        <v>101</v>
      </c>
      <c r="B6" s="1" t="s">
        <v>102</v>
      </c>
      <c r="C6" s="1"/>
      <c r="D6" s="1"/>
      <c r="E6" s="1"/>
      <c r="F6" s="1"/>
      <c r="G6" s="1"/>
      <c r="J6" s="1" t="s">
        <v>96</v>
      </c>
      <c r="K6" s="14">
        <v>0</v>
      </c>
      <c r="O6" s="2"/>
      <c r="P6" s="3"/>
    </row>
    <row r="7" spans="1:16" ht="12" customHeight="1" x14ac:dyDescent="0.2">
      <c r="B7" s="1"/>
      <c r="C7" s="1"/>
      <c r="D7" s="1"/>
      <c r="E7" s="1"/>
      <c r="F7" s="1"/>
      <c r="G7" s="1"/>
      <c r="J7" s="1" t="s">
        <v>95</v>
      </c>
      <c r="K7" s="14"/>
    </row>
    <row r="8" spans="1:16" ht="12" customHeight="1" x14ac:dyDescent="0.2">
      <c r="A8" s="15" t="s">
        <v>103</v>
      </c>
      <c r="B8" s="16"/>
      <c r="C8" s="16"/>
      <c r="D8" s="16">
        <v>44773</v>
      </c>
      <c r="E8" s="4"/>
      <c r="F8" s="4"/>
      <c r="G8" s="4"/>
      <c r="H8" s="4"/>
      <c r="I8" s="4"/>
      <c r="J8" s="4"/>
      <c r="K8" s="4"/>
    </row>
    <row r="9" spans="1:16" ht="12" customHeight="1" x14ac:dyDescent="0.2">
      <c r="A9" s="15" t="s">
        <v>104</v>
      </c>
      <c r="B9" s="16"/>
      <c r="C9" s="16"/>
      <c r="D9" s="16">
        <v>44774</v>
      </c>
      <c r="E9" s="4"/>
      <c r="F9" s="4"/>
      <c r="G9" s="4"/>
      <c r="H9" s="4"/>
      <c r="I9" s="4"/>
      <c r="J9" s="4"/>
      <c r="K9" s="4"/>
    </row>
    <row r="10" spans="1:16" ht="12" customHeight="1" x14ac:dyDescent="0.2">
      <c r="A10" s="15" t="s">
        <v>105</v>
      </c>
      <c r="B10" s="16"/>
      <c r="C10" s="16"/>
      <c r="D10" s="144">
        <v>21.75</v>
      </c>
      <c r="E10" s="4"/>
      <c r="F10" s="4"/>
      <c r="G10" s="4"/>
      <c r="H10" s="4"/>
      <c r="I10" s="4"/>
      <c r="J10" s="4"/>
      <c r="K10" s="4"/>
    </row>
    <row r="11" spans="1:16" ht="12" customHeight="1" x14ac:dyDescent="0.2">
      <c r="A11" s="15" t="s">
        <v>106</v>
      </c>
      <c r="B11" s="16"/>
      <c r="C11" s="16"/>
      <c r="D11" s="144">
        <f>365.25/12</f>
        <v>30.4375</v>
      </c>
      <c r="E11" s="4"/>
      <c r="F11" s="4"/>
      <c r="G11" s="4"/>
      <c r="H11" s="4"/>
      <c r="I11" s="4"/>
      <c r="J11" s="4"/>
      <c r="K11" s="4"/>
    </row>
    <row r="12" spans="1:16" ht="12" customHeight="1" x14ac:dyDescent="0.2">
      <c r="A12" s="15" t="s">
        <v>107</v>
      </c>
      <c r="B12" s="15"/>
      <c r="C12" s="15"/>
      <c r="D12" s="145">
        <v>274.44</v>
      </c>
      <c r="E12" s="148">
        <v>45292</v>
      </c>
      <c r="F12" s="1" t="s">
        <v>108</v>
      </c>
      <c r="G12" s="1"/>
      <c r="H12" s="1"/>
      <c r="I12" s="156"/>
      <c r="J12" s="156" t="s">
        <v>109</v>
      </c>
      <c r="O12" s="133"/>
    </row>
    <row r="13" spans="1:16" ht="12" customHeight="1" x14ac:dyDescent="0.2">
      <c r="A13" s="15" t="s">
        <v>110</v>
      </c>
      <c r="B13" s="15"/>
      <c r="C13" s="15"/>
      <c r="D13" s="145">
        <v>341.19</v>
      </c>
      <c r="E13" s="163">
        <v>45292</v>
      </c>
      <c r="F13" s="1" t="s">
        <v>142</v>
      </c>
      <c r="G13" s="1"/>
      <c r="H13" s="1"/>
      <c r="I13" s="1"/>
    </row>
    <row r="14" spans="1:16" ht="12" customHeight="1" x14ac:dyDescent="0.2">
      <c r="A14" s="15" t="s">
        <v>111</v>
      </c>
      <c r="B14" s="15"/>
      <c r="C14" s="15"/>
      <c r="D14" s="146">
        <v>2317.83</v>
      </c>
      <c r="E14" s="148">
        <v>45292</v>
      </c>
      <c r="F14" s="1"/>
      <c r="G14" s="1"/>
      <c r="H14" s="1"/>
      <c r="I14" s="1"/>
    </row>
    <row r="15" spans="1:16" ht="12" customHeight="1" x14ac:dyDescent="0.2">
      <c r="A15" s="15" t="s">
        <v>112</v>
      </c>
      <c r="B15" s="15"/>
      <c r="C15" s="15"/>
      <c r="D15" s="34">
        <v>0.15</v>
      </c>
      <c r="E15" s="32"/>
      <c r="F15" s="1"/>
      <c r="G15" s="1"/>
      <c r="H15" s="1"/>
      <c r="I15" s="1"/>
    </row>
    <row r="16" spans="1:16" ht="12" customHeight="1" x14ac:dyDescent="0.2">
      <c r="A16" s="1" t="s">
        <v>113</v>
      </c>
      <c r="B16" s="1"/>
      <c r="C16" s="1"/>
      <c r="D16" s="14">
        <v>0.06</v>
      </c>
      <c r="E16" s="4"/>
      <c r="F16" s="4"/>
      <c r="G16" s="4"/>
      <c r="H16" s="4"/>
      <c r="I16" s="4"/>
      <c r="J16" s="4"/>
      <c r="K16" s="4"/>
    </row>
    <row r="17" spans="1:9" ht="12" customHeight="1" x14ac:dyDescent="0.2">
      <c r="A17" s="1" t="s">
        <v>114</v>
      </c>
      <c r="B17" s="1">
        <v>2023</v>
      </c>
      <c r="C17" s="1"/>
      <c r="D17" s="147">
        <v>66</v>
      </c>
      <c r="E17" s="1" t="s">
        <v>115</v>
      </c>
      <c r="F17" s="147">
        <v>10</v>
      </c>
      <c r="G17" s="1" t="s">
        <v>116</v>
      </c>
      <c r="H17" s="22"/>
      <c r="I17" s="1"/>
    </row>
    <row r="18" spans="1:9" ht="12" customHeight="1" x14ac:dyDescent="0.2">
      <c r="B18" s="1"/>
      <c r="C18" s="1"/>
      <c r="D18" s="33" t="s">
        <v>117</v>
      </c>
      <c r="E18" s="1"/>
      <c r="F18" s="1"/>
      <c r="G18" s="1"/>
      <c r="H18" s="1"/>
      <c r="I18" s="1"/>
    </row>
    <row r="19" spans="1:9" ht="12" customHeight="1" x14ac:dyDescent="0.2">
      <c r="B19" s="1"/>
      <c r="C19" s="1"/>
      <c r="D19" s="1"/>
      <c r="E19" s="1"/>
      <c r="F19" s="1"/>
      <c r="G19" s="1"/>
      <c r="H19" s="1"/>
      <c r="I19" s="1"/>
    </row>
    <row r="20" spans="1:9" ht="12" customHeight="1" x14ac:dyDescent="0.2">
      <c r="A20" s="1" t="s">
        <v>118</v>
      </c>
      <c r="B20" s="1"/>
      <c r="C20" s="1"/>
      <c r="D20" s="142">
        <v>0.01</v>
      </c>
      <c r="E20" s="1"/>
      <c r="F20" s="1"/>
      <c r="G20" s="1"/>
      <c r="H20" s="1"/>
      <c r="I20" s="1"/>
    </row>
    <row r="21" spans="1:9" ht="12" customHeight="1" x14ac:dyDescent="0.2">
      <c r="B21" s="1"/>
      <c r="C21" s="1"/>
      <c r="D21" s="1"/>
      <c r="E21" s="1"/>
      <c r="F21" s="1"/>
      <c r="G21" s="1"/>
      <c r="H21" s="1"/>
      <c r="I21" s="1"/>
    </row>
  </sheetData>
  <sheetProtection algorithmName="SHA-512" hashValue="/DO6tjGNEAZjKi+MsVkzUORtLrxRr1LPoqySnlONYM2Wv1IZgndRHAc077HdPY8vuUctxmPFxnhRMhbwE1ushw==" saltValue="keIIXmpmbamnPGcWG+gKkQ==" spinCount="100000" sheet="1" objects="1" scenarios="1"/>
  <mergeCells count="2">
    <mergeCell ref="B1:C1"/>
    <mergeCell ref="D1:E1"/>
  </mergeCells>
  <phoneticPr fontId="0" type="noConversion"/>
  <hyperlinks>
    <hyperlink ref="J12" r:id="rId1" xr:uid="{84BE62AE-CCAC-4E33-86E9-5736B3B19BF5}"/>
  </hyperlinks>
  <pageMargins left="0.75" right="0.75" top="1" bottom="1" header="0.5" footer="0.5"/>
  <pageSetup paperSize="9" scale="55" orientation="portrait" cellComments="asDisplayed" r:id="rId2"/>
  <headerFooter alignWithMargins="0">
    <oddHeader>&amp;L&amp;"Arial,Vet"&amp;F&amp;R&amp;P</oddHeader>
    <oddFooter>&amp;L&amp;"Arial,Vet"VOS/ABB, R. Goedhart en B.Keizer&amp;C&amp;"Arial,Vet"&amp;A&amp;R&amp;"Arial,Vet"&amp;D</oddFooter>
  </headerFooter>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4E77B-68E6-4077-9932-687DBF5037C1}">
  <dimension ref="G1:M28"/>
  <sheetViews>
    <sheetView workbookViewId="0">
      <selection activeCell="H35" sqref="H35:I35"/>
    </sheetView>
  </sheetViews>
  <sheetFormatPr defaultRowHeight="12" x14ac:dyDescent="0.2"/>
  <cols>
    <col min="1" max="7" width="9.140625" style="15"/>
    <col min="8" max="8" width="10.42578125" style="15" bestFit="1" customWidth="1"/>
    <col min="9" max="16384" width="9.140625" style="15"/>
  </cols>
  <sheetData>
    <row r="1" spans="8:11" x14ac:dyDescent="0.2">
      <c r="H1" s="15" t="s">
        <v>119</v>
      </c>
      <c r="I1" s="15" t="s">
        <v>120</v>
      </c>
    </row>
    <row r="4" spans="8:11" x14ac:dyDescent="0.2">
      <c r="H4" s="15" t="s">
        <v>121</v>
      </c>
    </row>
    <row r="6" spans="8:11" x14ac:dyDescent="0.2">
      <c r="H6" s="15" t="s">
        <v>122</v>
      </c>
      <c r="I6" s="15" t="s">
        <v>123</v>
      </c>
    </row>
    <row r="8" spans="8:11" x14ac:dyDescent="0.2">
      <c r="H8" s="15" t="s">
        <v>95</v>
      </c>
      <c r="K8" s="15" t="s">
        <v>96</v>
      </c>
    </row>
    <row r="11" spans="8:11" x14ac:dyDescent="0.2">
      <c r="H11" s="15" t="s">
        <v>124</v>
      </c>
      <c r="K11" s="15" t="s">
        <v>125</v>
      </c>
    </row>
    <row r="13" spans="8:11" x14ac:dyDescent="0.2">
      <c r="J13" s="15" t="s">
        <v>126</v>
      </c>
    </row>
    <row r="14" spans="8:11" x14ac:dyDescent="0.2">
      <c r="J14" s="15" t="s">
        <v>96</v>
      </c>
    </row>
    <row r="17" spans="7:13" x14ac:dyDescent="0.2">
      <c r="J17" s="15" t="s">
        <v>127</v>
      </c>
    </row>
    <row r="18" spans="7:13" x14ac:dyDescent="0.2">
      <c r="J18" s="15" t="s">
        <v>128</v>
      </c>
    </row>
    <row r="20" spans="7:13" x14ac:dyDescent="0.2">
      <c r="J20" s="15" t="s">
        <v>129</v>
      </c>
    </row>
    <row r="21" spans="7:13" x14ac:dyDescent="0.2">
      <c r="J21" s="15" t="s">
        <v>130</v>
      </c>
      <c r="M21" s="15" t="s">
        <v>131</v>
      </c>
    </row>
    <row r="22" spans="7:13" x14ac:dyDescent="0.2">
      <c r="J22" s="15" t="s">
        <v>132</v>
      </c>
      <c r="M22" s="15" t="s">
        <v>133</v>
      </c>
    </row>
    <row r="23" spans="7:13" x14ac:dyDescent="0.2">
      <c r="J23" s="15" t="s">
        <v>134</v>
      </c>
    </row>
    <row r="27" spans="7:13" x14ac:dyDescent="0.2">
      <c r="G27" s="15" t="s">
        <v>135</v>
      </c>
    </row>
    <row r="28" spans="7:13" x14ac:dyDescent="0.2">
      <c r="G28" s="15" t="s">
        <v>136</v>
      </c>
    </row>
  </sheetData>
  <sheetProtection algorithmName="SHA-512" hashValue="yn27X35dhSiWmJ0d6kZKAudqCNE1KMtoEONJTPM2A0qw2/mGr2vlkcB1ULRs4yGwe5Mkul6d2wM8FkIMe6vHOQ==" saltValue="afvZlk/IZk9FiBhfy2/XUA==" spinCount="100000" sheet="1" objects="1" scenarios="1"/>
  <pageMargins left="0.7" right="0.7" top="0.75" bottom="0.75"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F802C-6D59-49E9-B15A-3099DE712477}">
  <dimension ref="A1:E52"/>
  <sheetViews>
    <sheetView topLeftCell="A25" zoomScaleNormal="100" workbookViewId="0">
      <selection activeCell="D54" sqref="D54"/>
    </sheetView>
  </sheetViews>
  <sheetFormatPr defaultRowHeight="12.75" x14ac:dyDescent="0.2"/>
  <cols>
    <col min="1" max="1" width="3.5703125" customWidth="1"/>
    <col min="9" max="9" width="2.85546875" customWidth="1"/>
  </cols>
  <sheetData>
    <row r="1" spans="1:2" x14ac:dyDescent="0.2">
      <c r="B1" t="s">
        <v>137</v>
      </c>
    </row>
    <row r="2" spans="1:2" ht="23.25" x14ac:dyDescent="0.2">
      <c r="A2" s="17"/>
    </row>
    <row r="3" spans="1:2" ht="18.75" x14ac:dyDescent="0.2">
      <c r="A3" s="18"/>
    </row>
    <row r="4" spans="1:2" ht="18.75" x14ac:dyDescent="0.2">
      <c r="A4" s="19"/>
    </row>
    <row r="5" spans="1:2" ht="18.75" x14ac:dyDescent="0.2">
      <c r="A5" s="19"/>
    </row>
    <row r="6" spans="1:2" ht="18.75" x14ac:dyDescent="0.2">
      <c r="A6" s="18"/>
    </row>
    <row r="7" spans="1:2" x14ac:dyDescent="0.2">
      <c r="A7" s="20"/>
    </row>
    <row r="8" spans="1:2" x14ac:dyDescent="0.2">
      <c r="A8" s="20"/>
    </row>
    <row r="9" spans="1:2" ht="18.75" x14ac:dyDescent="0.2">
      <c r="A9" s="18"/>
    </row>
    <row r="10" spans="1:2" ht="18.75" x14ac:dyDescent="0.2">
      <c r="A10" s="19"/>
    </row>
    <row r="11" spans="1:2" ht="18.75" x14ac:dyDescent="0.2">
      <c r="A11" s="19"/>
    </row>
    <row r="12" spans="1:2" ht="18.75" x14ac:dyDescent="0.2">
      <c r="A12" s="19"/>
    </row>
    <row r="13" spans="1:2" x14ac:dyDescent="0.2">
      <c r="A13" s="20"/>
    </row>
    <row r="14" spans="1:2" x14ac:dyDescent="0.2">
      <c r="A14" s="20"/>
    </row>
    <row r="15" spans="1:2" x14ac:dyDescent="0.2">
      <c r="A15" s="20"/>
    </row>
    <row r="16" spans="1:2" x14ac:dyDescent="0.2">
      <c r="A16" s="20"/>
    </row>
    <row r="17" spans="1:1" x14ac:dyDescent="0.2">
      <c r="A17" s="20"/>
    </row>
    <row r="18" spans="1:1" x14ac:dyDescent="0.2">
      <c r="A18" s="20"/>
    </row>
    <row r="20" spans="1:1" x14ac:dyDescent="0.2">
      <c r="A20" s="21"/>
    </row>
    <row r="46" spans="2:3" x14ac:dyDescent="0.2">
      <c r="B46" t="s">
        <v>138</v>
      </c>
    </row>
    <row r="47" spans="2:3" x14ac:dyDescent="0.2">
      <c r="C47" t="s">
        <v>116</v>
      </c>
    </row>
    <row r="48" spans="2:3" x14ac:dyDescent="0.2">
      <c r="B48" t="s">
        <v>139</v>
      </c>
      <c r="C48">
        <v>24</v>
      </c>
    </row>
    <row r="49" spans="2:5" x14ac:dyDescent="0.2">
      <c r="B49" t="s">
        <v>78</v>
      </c>
      <c r="C49">
        <v>14</v>
      </c>
    </row>
    <row r="50" spans="2:5" x14ac:dyDescent="0.2">
      <c r="B50" t="s">
        <v>79</v>
      </c>
      <c r="C50">
        <v>34</v>
      </c>
    </row>
    <row r="51" spans="2:5" x14ac:dyDescent="0.2">
      <c r="B51" t="s">
        <v>140</v>
      </c>
      <c r="C51">
        <f>C52-SUM(C48:C50)</f>
        <v>24</v>
      </c>
    </row>
    <row r="52" spans="2:5" x14ac:dyDescent="0.2">
      <c r="C52" s="139">
        <f>+D52*12</f>
        <v>96</v>
      </c>
      <c r="D52" s="140">
        <v>8</v>
      </c>
      <c r="E52" t="s">
        <v>141</v>
      </c>
    </row>
  </sheetData>
  <sheetProtection algorithmName="SHA-512" hashValue="wq5FGPQ/oGe5YuVTMl08HzoTq7xwMX9xJZQ7KW8WbUOH9/WJE7eycRkmxGJhtCAj2dy/YAyq4wasjG7QBPnY6A==" saltValue="+jUhayGQdefOiz4VGOiIgw=="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e408a69-fb97-4716-8af1-a872e3f7f02e" xsi:nil="true"/>
    <lcf76f155ced4ddcb4097134ff3c332f xmlns="6168b6c1-e810-47fe-8163-bf9b9d31d68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A4239089D7904FAEE920AFD682F253" ma:contentTypeVersion="14" ma:contentTypeDescription="Een nieuw document maken." ma:contentTypeScope="" ma:versionID="3950f5fba55b1dd32f016ff8f3bb0797">
  <xsd:schema xmlns:xsd="http://www.w3.org/2001/XMLSchema" xmlns:xs="http://www.w3.org/2001/XMLSchema" xmlns:p="http://schemas.microsoft.com/office/2006/metadata/properties" xmlns:ns2="6168b6c1-e810-47fe-8163-bf9b9d31d68b" xmlns:ns3="8e408a69-fb97-4716-8af1-a872e3f7f02e" targetNamespace="http://schemas.microsoft.com/office/2006/metadata/properties" ma:root="true" ma:fieldsID="f930105adeb553d7ded149b7c654ab22" ns2:_="" ns3:_="">
    <xsd:import namespace="6168b6c1-e810-47fe-8163-bf9b9d31d68b"/>
    <xsd:import namespace="8e408a69-fb97-4716-8af1-a872e3f7f0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68b6c1-e810-47fe-8163-bf9b9d31d6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fbeeldingtags" ma:readOnly="false" ma:fieldId="{5cf76f15-5ced-4ddc-b409-7134ff3c332f}" ma:taxonomyMulti="true" ma:sspId="cb22535c-56a5-4bef-9c15-4c767476c03e"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408a69-fb97-4716-8af1-a872e3f7f02e"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16" nillable="true" ma:displayName="Taxonomy Catch All Column" ma:hidden="true" ma:list="{18815cea-9793-4950-910a-e45689a6e2a6}" ma:internalName="TaxCatchAll" ma:showField="CatchAllData" ma:web="8e408a69-fb97-4716-8af1-a872e3f7f0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6A49EA-0046-4588-93B3-75F841DB523E}">
  <ds:schemaRefs>
    <ds:schemaRef ds:uri="http://schemas.microsoft.com/office/2006/metadata/properties"/>
    <ds:schemaRef ds:uri="http://schemas.microsoft.com/office/infopath/2007/PartnerControls"/>
    <ds:schemaRef ds:uri="8e408a69-fb97-4716-8af1-a872e3f7f02e"/>
    <ds:schemaRef ds:uri="6168b6c1-e810-47fe-8163-bf9b9d31d68b"/>
  </ds:schemaRefs>
</ds:datastoreItem>
</file>

<file path=customXml/itemProps2.xml><?xml version="1.0" encoding="utf-8"?>
<ds:datastoreItem xmlns:ds="http://schemas.openxmlformats.org/officeDocument/2006/customXml" ds:itemID="{994F08F4-615A-478F-8859-F6250EB98852}"/>
</file>

<file path=customXml/itemProps3.xml><?xml version="1.0" encoding="utf-8"?>
<ds:datastoreItem xmlns:ds="http://schemas.openxmlformats.org/officeDocument/2006/customXml" ds:itemID="{5F3836F3-AC49-4C33-B40C-4AEDBA08E0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info</vt:lpstr>
      <vt:lpstr>berekening</vt:lpstr>
      <vt:lpstr>tab</vt:lpstr>
      <vt:lpstr>ww uitkering</vt:lpstr>
      <vt:lpstr>bovenw.uitkeringen</vt:lpstr>
      <vt:lpstr>info!_ftn1</vt:lpstr>
      <vt:lpstr>info!_ftnref1</vt:lpstr>
      <vt:lpstr>berekening!Afdrukbereik</vt:lpstr>
      <vt:lpstr>info!Afdrukbereik</vt:lpstr>
      <vt:lpstr>tab!Afdrukbereik</vt:lpstr>
    </vt:vector>
  </TitlesOfParts>
  <Manager/>
  <Company>vosabb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rmg</dc:creator>
  <cp:keywords/>
  <dc:description/>
  <cp:lastModifiedBy>Kitty Attema</cp:lastModifiedBy>
  <cp:revision/>
  <dcterms:created xsi:type="dcterms:W3CDTF">2007-11-19T11:40:20Z</dcterms:created>
  <dcterms:modified xsi:type="dcterms:W3CDTF">2024-01-11T15:47:14Z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0x01010049A4239089D7904FAEE920AFD682F253</vt:lpwstr>
  </property>
  <property fmtid="{D5CDD505-2E9C-101B-9397-08002B2CF9AE}" pid="3" name="MediaServiceImageTags">
    <vt:lpwstr/>
  </property>
</Properties>
</file>