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kitty\Downloads\"/>
    </mc:Choice>
  </mc:AlternateContent>
  <xr:revisionPtr revIDLastSave="0" documentId="13_ncr:1_{3700C8AC-37F2-4AAA-BA02-A634803F13DA}" xr6:coauthVersionLast="47" xr6:coauthVersionMax="47" xr10:uidLastSave="{00000000-0000-0000-0000-000000000000}"/>
  <bookViews>
    <workbookView xWindow="-120" yWindow="-120" windowWidth="29040" windowHeight="15720" tabRatio="684" firstSheet="1" activeTab="2" xr2:uid="{E084AF98-5732-47F7-8DA6-4EB40220092C}"/>
  </bookViews>
  <sheets>
    <sheet name="INFO" sheetId="19" state="hidden" r:id="rId1"/>
    <sheet name="basisscholen 2023 overgangsreg." sheetId="21" r:id="rId2"/>
    <sheet name="basisscholen 2024" sheetId="1" r:id="rId3"/>
    <sheet name="groei-bas" sheetId="20" r:id="rId4"/>
    <sheet name="aanv-bas" sheetId="11" r:id="rId5"/>
    <sheet name="aanv-sbo" sheetId="16" state="hidden" r:id="rId6"/>
    <sheet name="tab" sheetId="2" r:id="rId7"/>
  </sheets>
  <definedNames>
    <definedName name="_Toc83280053" localSheetId="4">'aanv-bas'!#REF!</definedName>
    <definedName name="_xlnm.Print_Area" localSheetId="4">'aanv-bas'!$B$1:$G$113</definedName>
    <definedName name="_xlnm.Print_Area" localSheetId="5">'aanv-sbo'!$B$1:$G$15</definedName>
    <definedName name="_xlnm.Print_Area" localSheetId="1">'basisscholen 2023 overgangsreg.'!$B$1:$AB$63</definedName>
    <definedName name="_xlnm.Print_Area" localSheetId="2">'basisscholen 2024'!$B$1:$AB$68</definedName>
    <definedName name="_xlnm.Print_Area" localSheetId="3">'groei-bas'!$B$2:$H$26</definedName>
    <definedName name="_xlnm.Print_Area" localSheetId="0">INFO!$A$1:$C$22</definedName>
    <definedName name="_xlnm.Print_Area" localSheetId="6">tab!$A$2:$G$81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1" i="11" l="1"/>
  <c r="F110" i="11"/>
  <c r="F109" i="11"/>
  <c r="F108" i="11"/>
  <c r="F107" i="11"/>
  <c r="F106" i="11"/>
  <c r="F105" i="11"/>
  <c r="F104" i="11"/>
  <c r="F103" i="11"/>
  <c r="F102" i="11"/>
  <c r="F101" i="11"/>
  <c r="F91" i="11"/>
  <c r="F90" i="11"/>
  <c r="F89" i="11"/>
  <c r="F88" i="11"/>
  <c r="F87" i="11"/>
  <c r="F86" i="11"/>
  <c r="F85" i="11"/>
  <c r="F84" i="11"/>
  <c r="F83" i="11"/>
  <c r="F82" i="11"/>
  <c r="F81" i="11"/>
  <c r="F71" i="11"/>
  <c r="F70" i="11"/>
  <c r="F69" i="11"/>
  <c r="F68" i="11"/>
  <c r="F67" i="11"/>
  <c r="F66" i="11"/>
  <c r="F65" i="11"/>
  <c r="F64" i="11"/>
  <c r="F63" i="11"/>
  <c r="F62" i="11"/>
  <c r="F61" i="11"/>
  <c r="F52" i="11"/>
  <c r="F45" i="11"/>
  <c r="F44" i="11"/>
  <c r="F43" i="11"/>
  <c r="F42" i="11"/>
  <c r="F34" i="11"/>
  <c r="F19" i="11"/>
  <c r="F18" i="11"/>
  <c r="F16" i="11"/>
  <c r="E16" i="11"/>
  <c r="E12" i="11"/>
  <c r="F81" i="2"/>
  <c r="E81" i="2"/>
  <c r="D81" i="2"/>
  <c r="C81" i="2"/>
  <c r="B81" i="2"/>
  <c r="C76" i="2"/>
  <c r="D76" i="2" s="1"/>
  <c r="E76" i="2" s="1"/>
  <c r="F76" i="2" s="1"/>
  <c r="D75" i="2"/>
  <c r="E75" i="2" s="1"/>
  <c r="F75" i="2" s="1"/>
  <c r="C75" i="2"/>
  <c r="C74" i="2"/>
  <c r="D74" i="2" s="1"/>
  <c r="E74" i="2" s="1"/>
  <c r="F74" i="2" s="1"/>
  <c r="C73" i="2"/>
  <c r="D73" i="2" s="1"/>
  <c r="E73" i="2" s="1"/>
  <c r="F73" i="2" s="1"/>
  <c r="C72" i="2"/>
  <c r="D72" i="2" s="1"/>
  <c r="E72" i="2" s="1"/>
  <c r="F72" i="2" s="1"/>
  <c r="C71" i="2"/>
  <c r="D71" i="2" s="1"/>
  <c r="E71" i="2" s="1"/>
  <c r="F71" i="2" s="1"/>
  <c r="C70" i="2"/>
  <c r="D70" i="2" s="1"/>
  <c r="E70" i="2" s="1"/>
  <c r="F70" i="2" s="1"/>
  <c r="C69" i="2"/>
  <c r="D69" i="2" s="1"/>
  <c r="E69" i="2" s="1"/>
  <c r="F69" i="2" s="1"/>
  <c r="C68" i="2"/>
  <c r="D68" i="2" s="1"/>
  <c r="E68" i="2" s="1"/>
  <c r="F68" i="2" s="1"/>
  <c r="C67" i="2"/>
  <c r="D67" i="2" s="1"/>
  <c r="E67" i="2" s="1"/>
  <c r="F67" i="2" s="1"/>
  <c r="F66" i="2"/>
  <c r="E66" i="2"/>
  <c r="D66" i="2"/>
  <c r="C66" i="2"/>
  <c r="B66" i="2"/>
  <c r="C64" i="2"/>
  <c r="D64" i="2" s="1"/>
  <c r="E64" i="2" s="1"/>
  <c r="F64" i="2" s="1"/>
  <c r="C63" i="2"/>
  <c r="D63" i="2" s="1"/>
  <c r="E63" i="2" s="1"/>
  <c r="F63" i="2" s="1"/>
  <c r="C62" i="2"/>
  <c r="D62" i="2" s="1"/>
  <c r="E62" i="2" s="1"/>
  <c r="F62" i="2" s="1"/>
  <c r="C61" i="2"/>
  <c r="D61" i="2" s="1"/>
  <c r="E61" i="2" s="1"/>
  <c r="F61" i="2" s="1"/>
  <c r="D60" i="2"/>
  <c r="D79" i="2" s="1"/>
  <c r="C60" i="2"/>
  <c r="C79" i="2" s="1"/>
  <c r="C59" i="2"/>
  <c r="C78" i="2" s="1"/>
  <c r="C58" i="2"/>
  <c r="C77" i="2" s="1"/>
  <c r="C57" i="2"/>
  <c r="D57" i="2" s="1"/>
  <c r="E57" i="2" s="1"/>
  <c r="F57" i="2" s="1"/>
  <c r="D56" i="2"/>
  <c r="E56" i="2" s="1"/>
  <c r="F56" i="2" s="1"/>
  <c r="C56" i="2"/>
  <c r="C55" i="2"/>
  <c r="D55" i="2" s="1"/>
  <c r="E55" i="2" s="1"/>
  <c r="F55" i="2" s="1"/>
  <c r="C54" i="2"/>
  <c r="D54" i="2" s="1"/>
  <c r="E54" i="2" s="1"/>
  <c r="F54" i="2" s="1"/>
  <c r="C53" i="2"/>
  <c r="D53" i="2" s="1"/>
  <c r="E53" i="2" s="1"/>
  <c r="F53" i="2" s="1"/>
  <c r="C52" i="2"/>
  <c r="D52" i="2" s="1"/>
  <c r="E52" i="2" s="1"/>
  <c r="F52" i="2" s="1"/>
  <c r="C51" i="2"/>
  <c r="D51" i="2" s="1"/>
  <c r="E51" i="2" s="1"/>
  <c r="F51" i="2" s="1"/>
  <c r="C50" i="2"/>
  <c r="D50" i="2" s="1"/>
  <c r="E50" i="2" s="1"/>
  <c r="F50" i="2" s="1"/>
  <c r="C49" i="2"/>
  <c r="D49" i="2" s="1"/>
  <c r="E49" i="2" s="1"/>
  <c r="F49" i="2" s="1"/>
  <c r="C48" i="2"/>
  <c r="D48" i="2" s="1"/>
  <c r="E48" i="2" s="1"/>
  <c r="F48" i="2" s="1"/>
  <c r="C47" i="2"/>
  <c r="D47" i="2" s="1"/>
  <c r="E47" i="2" s="1"/>
  <c r="F47" i="2" s="1"/>
  <c r="C46" i="2"/>
  <c r="D46" i="2" s="1"/>
  <c r="E46" i="2" s="1"/>
  <c r="F46" i="2" s="1"/>
  <c r="C45" i="2"/>
  <c r="D45" i="2" s="1"/>
  <c r="E45" i="2" s="1"/>
  <c r="F45" i="2" s="1"/>
  <c r="C44" i="2"/>
  <c r="D44" i="2" s="1"/>
  <c r="E44" i="2" s="1"/>
  <c r="F44" i="2" s="1"/>
  <c r="C43" i="2"/>
  <c r="D43" i="2" s="1"/>
  <c r="E43" i="2" s="1"/>
  <c r="F43" i="2" s="1"/>
  <c r="C42" i="2"/>
  <c r="D42" i="2" s="1"/>
  <c r="E42" i="2" s="1"/>
  <c r="F42" i="2" s="1"/>
  <c r="C41" i="2"/>
  <c r="D41" i="2" s="1"/>
  <c r="E41" i="2" s="1"/>
  <c r="F41" i="2" s="1"/>
  <c r="F40" i="2"/>
  <c r="E40" i="2"/>
  <c r="D40" i="2"/>
  <c r="C40" i="2"/>
  <c r="B40" i="2"/>
  <c r="B38" i="2"/>
  <c r="B37" i="2"/>
  <c r="D36" i="2"/>
  <c r="E36" i="2" s="1"/>
  <c r="F36" i="2" s="1"/>
  <c r="C36" i="2"/>
  <c r="C35" i="2"/>
  <c r="D35" i="2" s="1"/>
  <c r="E35" i="2" s="1"/>
  <c r="F35" i="2" s="1"/>
  <c r="D34" i="2"/>
  <c r="E34" i="2" s="1"/>
  <c r="F34" i="2" s="1"/>
  <c r="C34" i="2"/>
  <c r="C33" i="2"/>
  <c r="D33" i="2" s="1"/>
  <c r="E33" i="2" s="1"/>
  <c r="F33" i="2" s="1"/>
  <c r="D32" i="2"/>
  <c r="E32" i="2" s="1"/>
  <c r="F32" i="2" s="1"/>
  <c r="C32" i="2"/>
  <c r="C31" i="2"/>
  <c r="D31" i="2" s="1"/>
  <c r="E31" i="2" s="1"/>
  <c r="F31" i="2" s="1"/>
  <c r="F30" i="2"/>
  <c r="E30" i="2"/>
  <c r="D30" i="2"/>
  <c r="C30" i="2"/>
  <c r="B30" i="2"/>
  <c r="C28" i="2"/>
  <c r="D28" i="2" s="1"/>
  <c r="E28" i="2" s="1"/>
  <c r="F28" i="2" s="1"/>
  <c r="C27" i="2"/>
  <c r="D27" i="2" s="1"/>
  <c r="E27" i="2" s="1"/>
  <c r="F27" i="2" s="1"/>
  <c r="C26" i="2"/>
  <c r="D26" i="2" s="1"/>
  <c r="C25" i="2"/>
  <c r="D25" i="2" s="1"/>
  <c r="C24" i="2"/>
  <c r="D24" i="2" s="1"/>
  <c r="E24" i="2" s="1"/>
  <c r="F24" i="2" s="1"/>
  <c r="C23" i="2"/>
  <c r="D23" i="2" s="1"/>
  <c r="E23" i="2" s="1"/>
  <c r="F23" i="2" s="1"/>
  <c r="C22" i="2"/>
  <c r="D22" i="2" s="1"/>
  <c r="E22" i="2" s="1"/>
  <c r="F22" i="2" s="1"/>
  <c r="C21" i="2"/>
  <c r="D21" i="2" s="1"/>
  <c r="E21" i="2" s="1"/>
  <c r="F21" i="2" s="1"/>
  <c r="B20" i="2"/>
  <c r="C19" i="2"/>
  <c r="D19" i="2" s="1"/>
  <c r="E19" i="2" s="1"/>
  <c r="F19" i="2" s="1"/>
  <c r="C18" i="2"/>
  <c r="D18" i="2" s="1"/>
  <c r="E18" i="2" s="1"/>
  <c r="F18" i="2" s="1"/>
  <c r="D17" i="2"/>
  <c r="E17" i="2" s="1"/>
  <c r="F17" i="2" s="1"/>
  <c r="C17" i="2"/>
  <c r="C16" i="2"/>
  <c r="D16" i="2" s="1"/>
  <c r="E16" i="2" s="1"/>
  <c r="F16" i="2" s="1"/>
  <c r="C15" i="2"/>
  <c r="D15" i="2" s="1"/>
  <c r="E15" i="2" s="1"/>
  <c r="F15" i="2" s="1"/>
  <c r="C14" i="2"/>
  <c r="D14" i="2" s="1"/>
  <c r="E14" i="2" s="1"/>
  <c r="F14" i="2" s="1"/>
  <c r="D13" i="2"/>
  <c r="E13" i="2" s="1"/>
  <c r="F13" i="2" s="1"/>
  <c r="C13" i="2"/>
  <c r="C12" i="2"/>
  <c r="D12" i="2" s="1"/>
  <c r="E12" i="2" s="1"/>
  <c r="C11" i="2"/>
  <c r="D11" i="2" s="1"/>
  <c r="E11" i="2" s="1"/>
  <c r="F11" i="2" s="1"/>
  <c r="C10" i="2"/>
  <c r="D10" i="2" s="1"/>
  <c r="E10" i="2" s="1"/>
  <c r="F10" i="2" s="1"/>
  <c r="C9" i="2"/>
  <c r="D9" i="2" s="1"/>
  <c r="E9" i="2" s="1"/>
  <c r="F9" i="2" s="1"/>
  <c r="C8" i="2"/>
  <c r="C20" i="2" s="1"/>
  <c r="I79" i="2"/>
  <c r="I78" i="2"/>
  <c r="I77" i="2"/>
  <c r="I72" i="2"/>
  <c r="I71" i="2"/>
  <c r="I70" i="2"/>
  <c r="I68" i="2"/>
  <c r="J38" i="2"/>
  <c r="I38" i="2"/>
  <c r="J37" i="2"/>
  <c r="I37" i="2"/>
  <c r="J20" i="2"/>
  <c r="I20" i="2"/>
  <c r="J4" i="2"/>
  <c r="J5" i="2"/>
  <c r="I5" i="2"/>
  <c r="B5" i="2"/>
  <c r="H22" i="21"/>
  <c r="H28" i="21" s="1"/>
  <c r="I22" i="21"/>
  <c r="I28" i="21" s="1"/>
  <c r="J22" i="21"/>
  <c r="J28" i="21" s="1"/>
  <c r="K22" i="21"/>
  <c r="K28" i="21" s="1"/>
  <c r="L22" i="21"/>
  <c r="L28" i="21" s="1"/>
  <c r="M22" i="21"/>
  <c r="M28" i="21" s="1"/>
  <c r="N22" i="21"/>
  <c r="N28" i="21" s="1"/>
  <c r="O22" i="21"/>
  <c r="O28" i="21" s="1"/>
  <c r="P22" i="21"/>
  <c r="P28" i="21" s="1"/>
  <c r="Q22" i="21"/>
  <c r="Q28" i="21" s="1"/>
  <c r="R22" i="21"/>
  <c r="R28" i="21" s="1"/>
  <c r="S22" i="21"/>
  <c r="S28" i="21" s="1"/>
  <c r="T22" i="21"/>
  <c r="T28" i="21" s="1"/>
  <c r="U22" i="21"/>
  <c r="U28" i="21" s="1"/>
  <c r="V22" i="21"/>
  <c r="V28" i="21" s="1"/>
  <c r="W22" i="21"/>
  <c r="W28" i="21" s="1"/>
  <c r="X22" i="21"/>
  <c r="X28" i="21" s="1"/>
  <c r="Y22" i="21"/>
  <c r="Y28" i="21" s="1"/>
  <c r="Z22" i="21"/>
  <c r="Z28" i="21" s="1"/>
  <c r="J23" i="21"/>
  <c r="K23" i="21"/>
  <c r="L23" i="21"/>
  <c r="M23" i="21"/>
  <c r="N23" i="21"/>
  <c r="O23" i="21"/>
  <c r="Q23" i="21"/>
  <c r="R23" i="21"/>
  <c r="S23" i="21"/>
  <c r="T23" i="21"/>
  <c r="U23" i="21"/>
  <c r="V23" i="21"/>
  <c r="W23" i="21"/>
  <c r="X23" i="21"/>
  <c r="Y23" i="21"/>
  <c r="Z23" i="21"/>
  <c r="J24" i="21"/>
  <c r="K24" i="21"/>
  <c r="L24" i="21"/>
  <c r="M24" i="21"/>
  <c r="N24" i="21"/>
  <c r="O24" i="21"/>
  <c r="Q24" i="21"/>
  <c r="R24" i="21"/>
  <c r="S24" i="21"/>
  <c r="T24" i="21"/>
  <c r="U24" i="21"/>
  <c r="V24" i="21"/>
  <c r="W24" i="21"/>
  <c r="X24" i="21"/>
  <c r="Y24" i="21"/>
  <c r="Z24" i="21"/>
  <c r="H25" i="21"/>
  <c r="I25" i="21"/>
  <c r="J25" i="21"/>
  <c r="K25" i="21"/>
  <c r="L25" i="21"/>
  <c r="M25" i="21"/>
  <c r="N25" i="21"/>
  <c r="O25" i="21"/>
  <c r="P25" i="21"/>
  <c r="Q25" i="21"/>
  <c r="R25" i="21"/>
  <c r="S25" i="21"/>
  <c r="T25" i="21"/>
  <c r="U25" i="21"/>
  <c r="V25" i="21"/>
  <c r="W25" i="21"/>
  <c r="X25" i="21"/>
  <c r="Y25" i="21"/>
  <c r="Z25" i="21"/>
  <c r="H26" i="21"/>
  <c r="I26" i="21"/>
  <c r="J26" i="21"/>
  <c r="K26" i="21"/>
  <c r="L26" i="21"/>
  <c r="M26" i="21"/>
  <c r="N26" i="21"/>
  <c r="O26" i="21"/>
  <c r="P26" i="21"/>
  <c r="Q26" i="21"/>
  <c r="R26" i="21"/>
  <c r="S26" i="21"/>
  <c r="T26" i="21"/>
  <c r="U26" i="21"/>
  <c r="V26" i="21"/>
  <c r="W26" i="21"/>
  <c r="X26" i="21"/>
  <c r="Y26" i="21"/>
  <c r="Z26" i="21"/>
  <c r="H27" i="21"/>
  <c r="I27" i="21"/>
  <c r="J27" i="21"/>
  <c r="K27" i="21"/>
  <c r="L27" i="21"/>
  <c r="M27" i="21"/>
  <c r="N27" i="21"/>
  <c r="O27" i="21"/>
  <c r="P27" i="21"/>
  <c r="Q27" i="21"/>
  <c r="R27" i="21"/>
  <c r="S27" i="21"/>
  <c r="T27" i="21"/>
  <c r="U27" i="21"/>
  <c r="V27" i="21"/>
  <c r="W27" i="21"/>
  <c r="X27" i="21"/>
  <c r="Y27" i="21"/>
  <c r="Z27" i="21"/>
  <c r="H30" i="21"/>
  <c r="I30" i="21"/>
  <c r="J30" i="21"/>
  <c r="K30" i="21"/>
  <c r="L30" i="21"/>
  <c r="M30" i="21"/>
  <c r="N30" i="21"/>
  <c r="O30" i="21"/>
  <c r="P30" i="21"/>
  <c r="Q30" i="21"/>
  <c r="R30" i="21"/>
  <c r="S30" i="21"/>
  <c r="T30" i="21"/>
  <c r="U30" i="21"/>
  <c r="V30" i="21"/>
  <c r="W30" i="21"/>
  <c r="X30" i="21"/>
  <c r="Y30" i="21"/>
  <c r="Z30" i="21"/>
  <c r="G30" i="21"/>
  <c r="G27" i="21"/>
  <c r="G26" i="21"/>
  <c r="G25" i="21"/>
  <c r="G22" i="21"/>
  <c r="G28" i="21" s="1"/>
  <c r="H22" i="1"/>
  <c r="H28" i="1" s="1"/>
  <c r="I22" i="1"/>
  <c r="I28" i="1" s="1"/>
  <c r="J22" i="1"/>
  <c r="J28" i="1" s="1"/>
  <c r="K22" i="1"/>
  <c r="K28" i="1" s="1"/>
  <c r="L22" i="1"/>
  <c r="L28" i="1" s="1"/>
  <c r="M22" i="1"/>
  <c r="M28" i="1" s="1"/>
  <c r="N22" i="1"/>
  <c r="N28" i="1" s="1"/>
  <c r="O22" i="1"/>
  <c r="O28" i="1" s="1"/>
  <c r="P22" i="1"/>
  <c r="P28" i="1" s="1"/>
  <c r="Q22" i="1"/>
  <c r="R22" i="1"/>
  <c r="R28" i="1" s="1"/>
  <c r="S22" i="1"/>
  <c r="S28" i="1" s="1"/>
  <c r="T22" i="1"/>
  <c r="T28" i="1" s="1"/>
  <c r="U22" i="1"/>
  <c r="U28" i="1" s="1"/>
  <c r="V22" i="1"/>
  <c r="V28" i="1" s="1"/>
  <c r="W22" i="1"/>
  <c r="W28" i="1" s="1"/>
  <c r="X22" i="1"/>
  <c r="X28" i="1" s="1"/>
  <c r="Y22" i="1"/>
  <c r="Z22" i="1"/>
  <c r="J23" i="1"/>
  <c r="K23" i="1"/>
  <c r="L23" i="1"/>
  <c r="M23" i="1"/>
  <c r="N23" i="1"/>
  <c r="P23" i="1"/>
  <c r="Q23" i="1"/>
  <c r="R23" i="1"/>
  <c r="S23" i="1"/>
  <c r="T23" i="1"/>
  <c r="U23" i="1"/>
  <c r="V23" i="1"/>
  <c r="W23" i="1"/>
  <c r="X23" i="1"/>
  <c r="Y23" i="1"/>
  <c r="Z23" i="1"/>
  <c r="J24" i="1"/>
  <c r="K24" i="1"/>
  <c r="L24" i="1"/>
  <c r="M24" i="1"/>
  <c r="N24" i="1"/>
  <c r="P24" i="1"/>
  <c r="Q24" i="1"/>
  <c r="R24" i="1"/>
  <c r="S24" i="1"/>
  <c r="T24" i="1"/>
  <c r="U24" i="1"/>
  <c r="V24" i="1"/>
  <c r="W24" i="1"/>
  <c r="X24" i="1"/>
  <c r="Y24" i="1"/>
  <c r="Z24" i="1"/>
  <c r="H25" i="1"/>
  <c r="I25" i="1"/>
  <c r="J25" i="1"/>
  <c r="K25" i="1"/>
  <c r="L25" i="1"/>
  <c r="M25" i="1"/>
  <c r="N25" i="1"/>
  <c r="O25" i="1"/>
  <c r="P25" i="1"/>
  <c r="Q25" i="1"/>
  <c r="R25" i="1"/>
  <c r="S25" i="1"/>
  <c r="T25" i="1"/>
  <c r="U25" i="1"/>
  <c r="V25" i="1"/>
  <c r="W25" i="1"/>
  <c r="X25" i="1"/>
  <c r="Y25" i="1"/>
  <c r="Z25" i="1"/>
  <c r="H26" i="1"/>
  <c r="I26" i="1"/>
  <c r="J26" i="1"/>
  <c r="K26" i="1"/>
  <c r="L26" i="1"/>
  <c r="M26" i="1"/>
  <c r="N26" i="1"/>
  <c r="O26" i="1"/>
  <c r="P26" i="1"/>
  <c r="Q26" i="1"/>
  <c r="R26" i="1"/>
  <c r="S26" i="1"/>
  <c r="T26" i="1"/>
  <c r="U26" i="1"/>
  <c r="V26" i="1"/>
  <c r="W26" i="1"/>
  <c r="X26" i="1"/>
  <c r="Y26" i="1"/>
  <c r="Z26" i="1"/>
  <c r="H27" i="1"/>
  <c r="I27" i="1"/>
  <c r="J27" i="1"/>
  <c r="K27" i="1"/>
  <c r="L27" i="1"/>
  <c r="M27" i="1"/>
  <c r="N27" i="1"/>
  <c r="O27" i="1"/>
  <c r="P27" i="1"/>
  <c r="Q27" i="1"/>
  <c r="R27" i="1"/>
  <c r="S27" i="1"/>
  <c r="T27" i="1"/>
  <c r="U27" i="1"/>
  <c r="V27" i="1"/>
  <c r="W27" i="1"/>
  <c r="X27" i="1"/>
  <c r="Y27" i="1"/>
  <c r="Z27" i="1"/>
  <c r="Q28" i="1"/>
  <c r="Y28" i="1"/>
  <c r="Z28" i="1"/>
  <c r="H30" i="1"/>
  <c r="I30" i="1"/>
  <c r="J30" i="1"/>
  <c r="K30" i="1"/>
  <c r="L30" i="1"/>
  <c r="M30" i="1"/>
  <c r="N30" i="1"/>
  <c r="O30" i="1"/>
  <c r="P30" i="1"/>
  <c r="Q30" i="1"/>
  <c r="R30" i="1"/>
  <c r="S30" i="1"/>
  <c r="T30" i="1"/>
  <c r="U30" i="1"/>
  <c r="V30" i="1"/>
  <c r="W30" i="1"/>
  <c r="X30" i="1"/>
  <c r="Y30" i="1"/>
  <c r="Z30" i="1"/>
  <c r="G27" i="1"/>
  <c r="G26" i="1"/>
  <c r="G25" i="1"/>
  <c r="G30" i="1"/>
  <c r="G22" i="1"/>
  <c r="G28" i="1" s="1"/>
  <c r="G32" i="21"/>
  <c r="G31" i="21"/>
  <c r="J51" i="1"/>
  <c r="K51" i="1"/>
  <c r="L51" i="1"/>
  <c r="M51" i="1"/>
  <c r="N51" i="1"/>
  <c r="P51" i="1"/>
  <c r="Q51" i="1"/>
  <c r="R51" i="1"/>
  <c r="S51" i="1"/>
  <c r="T51" i="1"/>
  <c r="U51" i="1"/>
  <c r="V51" i="1"/>
  <c r="W51" i="1"/>
  <c r="X51" i="1"/>
  <c r="Y51" i="1"/>
  <c r="Z51" i="1"/>
  <c r="J52" i="1"/>
  <c r="K52" i="1"/>
  <c r="L52" i="1"/>
  <c r="M52" i="1"/>
  <c r="O52" i="1"/>
  <c r="Q52" i="1"/>
  <c r="R52" i="1"/>
  <c r="S52" i="1"/>
  <c r="T52" i="1"/>
  <c r="U52" i="1"/>
  <c r="V52" i="1"/>
  <c r="W52" i="1"/>
  <c r="Y52" i="1"/>
  <c r="Z52" i="1"/>
  <c r="H53" i="1"/>
  <c r="I53" i="1"/>
  <c r="J53" i="1"/>
  <c r="K53" i="1"/>
  <c r="L53" i="1"/>
  <c r="M53" i="1"/>
  <c r="N53" i="1"/>
  <c r="O53" i="1"/>
  <c r="P53" i="1"/>
  <c r="Q53" i="1"/>
  <c r="R53" i="1"/>
  <c r="S53" i="1"/>
  <c r="T53" i="1"/>
  <c r="U53" i="1"/>
  <c r="V53" i="1"/>
  <c r="W53" i="1"/>
  <c r="X53" i="1"/>
  <c r="Y53" i="1"/>
  <c r="Z53" i="1"/>
  <c r="H58" i="1"/>
  <c r="I58" i="1"/>
  <c r="J58" i="1"/>
  <c r="K58" i="1"/>
  <c r="L58" i="1"/>
  <c r="M58" i="1"/>
  <c r="N58" i="1"/>
  <c r="O58" i="1"/>
  <c r="P58" i="1"/>
  <c r="Q58" i="1"/>
  <c r="R58" i="1"/>
  <c r="S58" i="1"/>
  <c r="T58" i="1"/>
  <c r="U58" i="1"/>
  <c r="V58" i="1"/>
  <c r="W58" i="1"/>
  <c r="X58" i="1"/>
  <c r="Y58" i="1"/>
  <c r="Z58" i="1"/>
  <c r="H61" i="1"/>
  <c r="I61" i="1"/>
  <c r="J61" i="1"/>
  <c r="K61" i="1"/>
  <c r="L61" i="1"/>
  <c r="M61" i="1"/>
  <c r="N61" i="1"/>
  <c r="O61" i="1"/>
  <c r="P61" i="1"/>
  <c r="Q61" i="1"/>
  <c r="R61" i="1"/>
  <c r="S61" i="1"/>
  <c r="T61" i="1"/>
  <c r="U61" i="1"/>
  <c r="V61" i="1"/>
  <c r="W61" i="1"/>
  <c r="X61" i="1"/>
  <c r="Y61" i="1"/>
  <c r="Z61" i="1"/>
  <c r="G61" i="1"/>
  <c r="G58" i="1"/>
  <c r="J48" i="21"/>
  <c r="K48" i="21"/>
  <c r="L48" i="21"/>
  <c r="M48" i="21"/>
  <c r="O48" i="21"/>
  <c r="Q48" i="21"/>
  <c r="R48" i="21"/>
  <c r="S48" i="21"/>
  <c r="T48" i="21"/>
  <c r="V48" i="21"/>
  <c r="W48" i="21"/>
  <c r="Y48" i="21"/>
  <c r="Z48" i="21"/>
  <c r="J49" i="21"/>
  <c r="K49" i="21"/>
  <c r="L49" i="21"/>
  <c r="M49" i="21"/>
  <c r="O49" i="21"/>
  <c r="Q49" i="21"/>
  <c r="R49" i="21"/>
  <c r="S49" i="21"/>
  <c r="T49" i="21"/>
  <c r="V49" i="21"/>
  <c r="W49" i="21"/>
  <c r="Y49" i="21"/>
  <c r="Z49" i="21"/>
  <c r="G53" i="1"/>
  <c r="H43" i="21"/>
  <c r="I43" i="21"/>
  <c r="J43" i="21"/>
  <c r="K43" i="21"/>
  <c r="L43" i="21"/>
  <c r="M43" i="21"/>
  <c r="N43" i="21"/>
  <c r="O43" i="21"/>
  <c r="P43" i="21"/>
  <c r="Q43" i="21"/>
  <c r="R43" i="21"/>
  <c r="S43" i="21"/>
  <c r="T43" i="21"/>
  <c r="U43" i="21"/>
  <c r="V43" i="21"/>
  <c r="W43" i="21"/>
  <c r="X43" i="21"/>
  <c r="Y43" i="21"/>
  <c r="Z43" i="21"/>
  <c r="H46" i="21"/>
  <c r="I46" i="21"/>
  <c r="J46" i="21"/>
  <c r="K46" i="21"/>
  <c r="L46" i="21"/>
  <c r="M46" i="21"/>
  <c r="N46" i="21"/>
  <c r="O46" i="21"/>
  <c r="P46" i="21"/>
  <c r="Q46" i="21"/>
  <c r="R46" i="21"/>
  <c r="S46" i="21"/>
  <c r="T46" i="21"/>
  <c r="U46" i="21"/>
  <c r="V46" i="21"/>
  <c r="W46" i="21"/>
  <c r="X46" i="21"/>
  <c r="Y46" i="21"/>
  <c r="Z46" i="21"/>
  <c r="H50" i="21"/>
  <c r="I50" i="21"/>
  <c r="J50" i="21"/>
  <c r="K50" i="21"/>
  <c r="L50" i="21"/>
  <c r="M50" i="21"/>
  <c r="N50" i="21"/>
  <c r="O50" i="21"/>
  <c r="P50" i="21"/>
  <c r="Q50" i="21"/>
  <c r="R50" i="21"/>
  <c r="S50" i="21"/>
  <c r="T50" i="21"/>
  <c r="U50" i="21"/>
  <c r="V50" i="21"/>
  <c r="W50" i="21"/>
  <c r="X50" i="21"/>
  <c r="Y50" i="21"/>
  <c r="Z50" i="21"/>
  <c r="H55" i="21"/>
  <c r="I55" i="21"/>
  <c r="J55" i="21"/>
  <c r="K55" i="21"/>
  <c r="L55" i="21"/>
  <c r="M55" i="21"/>
  <c r="N55" i="21"/>
  <c r="O55" i="21"/>
  <c r="P55" i="21"/>
  <c r="Q55" i="21"/>
  <c r="R55" i="21"/>
  <c r="S55" i="21"/>
  <c r="T55" i="21"/>
  <c r="U55" i="21"/>
  <c r="V55" i="21"/>
  <c r="W55" i="21"/>
  <c r="X55" i="21"/>
  <c r="Y55" i="21"/>
  <c r="Z55" i="21"/>
  <c r="H58" i="21"/>
  <c r="I58" i="21"/>
  <c r="J58" i="21"/>
  <c r="K58" i="21"/>
  <c r="L58" i="21"/>
  <c r="M58" i="21"/>
  <c r="N58" i="21"/>
  <c r="O58" i="21"/>
  <c r="P58" i="21"/>
  <c r="Q58" i="21"/>
  <c r="R58" i="21"/>
  <c r="S58" i="21"/>
  <c r="T58" i="21"/>
  <c r="U58" i="21"/>
  <c r="V58" i="21"/>
  <c r="W58" i="21"/>
  <c r="X58" i="21"/>
  <c r="Y58" i="21"/>
  <c r="Z58" i="21"/>
  <c r="G58" i="21"/>
  <c r="G55" i="21"/>
  <c r="G50" i="21"/>
  <c r="G46" i="21"/>
  <c r="G43" i="21"/>
  <c r="Z32" i="21"/>
  <c r="Y32" i="21"/>
  <c r="X32" i="21"/>
  <c r="W32" i="21"/>
  <c r="V32" i="21"/>
  <c r="U32" i="21"/>
  <c r="T32" i="21"/>
  <c r="S32" i="21"/>
  <c r="R32" i="21"/>
  <c r="Q32" i="21"/>
  <c r="P32" i="21"/>
  <c r="O32" i="21"/>
  <c r="N32" i="21"/>
  <c r="M32" i="21"/>
  <c r="L32" i="21"/>
  <c r="K32" i="21"/>
  <c r="J32" i="21"/>
  <c r="I32" i="21"/>
  <c r="H32" i="21"/>
  <c r="Z31" i="21"/>
  <c r="Y31" i="21"/>
  <c r="X31" i="21"/>
  <c r="W31" i="21"/>
  <c r="V31" i="21"/>
  <c r="U31" i="21"/>
  <c r="T31" i="21"/>
  <c r="S31" i="21"/>
  <c r="R31" i="21"/>
  <c r="Q31" i="21"/>
  <c r="P31" i="21"/>
  <c r="O31" i="21"/>
  <c r="N31" i="21"/>
  <c r="M31" i="21"/>
  <c r="L31" i="21"/>
  <c r="K31" i="21"/>
  <c r="J31" i="21"/>
  <c r="I31" i="21"/>
  <c r="H31" i="21"/>
  <c r="Z19" i="21"/>
  <c r="Y19" i="21"/>
  <c r="X19" i="21"/>
  <c r="W19" i="21"/>
  <c r="V19" i="21"/>
  <c r="U19" i="21"/>
  <c r="T19" i="21"/>
  <c r="S19" i="21"/>
  <c r="R19" i="21"/>
  <c r="Q19" i="21"/>
  <c r="P19" i="21"/>
  <c r="O19" i="21"/>
  <c r="N19" i="21"/>
  <c r="M19" i="21"/>
  <c r="L19" i="21"/>
  <c r="K19" i="21"/>
  <c r="J19" i="21"/>
  <c r="I19" i="21"/>
  <c r="H19" i="21"/>
  <c r="G19" i="21"/>
  <c r="Z18" i="21"/>
  <c r="Y18" i="21"/>
  <c r="X18" i="21"/>
  <c r="W18" i="21"/>
  <c r="V18" i="21"/>
  <c r="U18" i="21"/>
  <c r="T18" i="21"/>
  <c r="S18" i="21"/>
  <c r="R18" i="21"/>
  <c r="Q18" i="21"/>
  <c r="P18" i="21"/>
  <c r="O18" i="21"/>
  <c r="N18" i="21"/>
  <c r="M18" i="21"/>
  <c r="L18" i="21"/>
  <c r="K18" i="21"/>
  <c r="J18" i="21"/>
  <c r="I18" i="21"/>
  <c r="H18" i="21"/>
  <c r="G18" i="21"/>
  <c r="F20" i="11" l="1"/>
  <c r="E60" i="2"/>
  <c r="E79" i="2" s="1"/>
  <c r="D58" i="2"/>
  <c r="E26" i="2"/>
  <c r="D38" i="2"/>
  <c r="D37" i="2"/>
  <c r="E25" i="2"/>
  <c r="Q62" i="1"/>
  <c r="C38" i="2"/>
  <c r="F60" i="2"/>
  <c r="F79" i="2" s="1"/>
  <c r="D8" i="2"/>
  <c r="D59" i="2"/>
  <c r="C37" i="2"/>
  <c r="X29" i="21"/>
  <c r="Q29" i="1"/>
  <c r="Z55" i="1"/>
  <c r="Z29" i="21"/>
  <c r="Y29" i="1"/>
  <c r="X29" i="1"/>
  <c r="P29" i="1"/>
  <c r="H29" i="1"/>
  <c r="H24" i="1" s="1"/>
  <c r="S29" i="1"/>
  <c r="K29" i="1"/>
  <c r="T62" i="1"/>
  <c r="R62" i="1"/>
  <c r="T29" i="21"/>
  <c r="W29" i="21"/>
  <c r="T59" i="1"/>
  <c r="Y62" i="1"/>
  <c r="V29" i="1"/>
  <c r="U29" i="1"/>
  <c r="M29" i="1"/>
  <c r="W29" i="1"/>
  <c r="Q59" i="1"/>
  <c r="T29" i="1"/>
  <c r="L29" i="1"/>
  <c r="R59" i="1"/>
  <c r="M62" i="1"/>
  <c r="R29" i="1"/>
  <c r="J29" i="1"/>
  <c r="Y29" i="21"/>
  <c r="V59" i="1"/>
  <c r="K29" i="21"/>
  <c r="U29" i="21"/>
  <c r="V29" i="21"/>
  <c r="U62" i="1"/>
  <c r="K62" i="1"/>
  <c r="Z29" i="1"/>
  <c r="J29" i="21"/>
  <c r="Q29" i="21"/>
  <c r="N29" i="1"/>
  <c r="S29" i="21"/>
  <c r="H29" i="21"/>
  <c r="H24" i="21" s="1"/>
  <c r="S59" i="1"/>
  <c r="R29" i="21"/>
  <c r="O29" i="21"/>
  <c r="R55" i="1"/>
  <c r="I29" i="1"/>
  <c r="I24" i="1" s="1"/>
  <c r="I23" i="1" s="1"/>
  <c r="O29" i="1"/>
  <c r="O24" i="1" s="1"/>
  <c r="G29" i="21"/>
  <c r="G24" i="21" s="1"/>
  <c r="G23" i="21" s="1"/>
  <c r="G33" i="21" s="1"/>
  <c r="N29" i="21"/>
  <c r="L29" i="21"/>
  <c r="M29" i="21"/>
  <c r="K59" i="1"/>
  <c r="P29" i="21"/>
  <c r="P24" i="21" s="1"/>
  <c r="P23" i="21" s="1"/>
  <c r="K53" i="21"/>
  <c r="K54" i="21" s="1"/>
  <c r="S52" i="21"/>
  <c r="Z59" i="1"/>
  <c r="K55" i="1"/>
  <c r="I29" i="21"/>
  <c r="I24" i="21" s="1"/>
  <c r="I23" i="21" s="1"/>
  <c r="H23" i="21"/>
  <c r="Z62" i="1"/>
  <c r="Q55" i="1"/>
  <c r="W55" i="1"/>
  <c r="G29" i="1"/>
  <c r="G24" i="1" s="1"/>
  <c r="G23" i="1" s="1"/>
  <c r="J55" i="1"/>
  <c r="T56" i="1"/>
  <c r="T57" i="1" s="1"/>
  <c r="K56" i="1"/>
  <c r="K57" i="1" s="1"/>
  <c r="L56" i="1"/>
  <c r="L57" i="1" s="1"/>
  <c r="M59" i="1"/>
  <c r="V56" i="1"/>
  <c r="V57" i="1" s="1"/>
  <c r="U56" i="1"/>
  <c r="U57" i="1" s="1"/>
  <c r="L62" i="1"/>
  <c r="Y55" i="1"/>
  <c r="Y59" i="1"/>
  <c r="J59" i="1"/>
  <c r="J62" i="1"/>
  <c r="L59" i="1"/>
  <c r="U59" i="1"/>
  <c r="K52" i="21"/>
  <c r="K59" i="21"/>
  <c r="S56" i="1"/>
  <c r="S57" i="1" s="1"/>
  <c r="S62" i="1"/>
  <c r="S53" i="21"/>
  <c r="S54" i="21" s="1"/>
  <c r="M56" i="1"/>
  <c r="M57" i="1" s="1"/>
  <c r="S55" i="1"/>
  <c r="Q53" i="21"/>
  <c r="Q54" i="21" s="1"/>
  <c r="V55" i="1"/>
  <c r="Z56" i="1"/>
  <c r="R56" i="1"/>
  <c r="J56" i="1"/>
  <c r="U55" i="1"/>
  <c r="M55" i="1"/>
  <c r="W62" i="1"/>
  <c r="O62" i="1"/>
  <c r="Y56" i="1"/>
  <c r="Q56" i="1"/>
  <c r="Q57" i="1" s="1"/>
  <c r="T55" i="1"/>
  <c r="L55" i="1"/>
  <c r="V62" i="1"/>
  <c r="W59" i="1"/>
  <c r="O59" i="1"/>
  <c r="W56" i="1"/>
  <c r="W57" i="1" s="1"/>
  <c r="Q56" i="21"/>
  <c r="S59" i="21"/>
  <c r="T52" i="21"/>
  <c r="T53" i="21"/>
  <c r="T54" i="21" s="1"/>
  <c r="T56" i="21"/>
  <c r="T59" i="21"/>
  <c r="L52" i="21"/>
  <c r="L56" i="21"/>
  <c r="L53" i="21"/>
  <c r="L59" i="21"/>
  <c r="O56" i="21"/>
  <c r="O59" i="21"/>
  <c r="O52" i="21"/>
  <c r="O53" i="21"/>
  <c r="O54" i="21" s="1"/>
  <c r="M59" i="21"/>
  <c r="M52" i="21"/>
  <c r="M53" i="21"/>
  <c r="M56" i="21"/>
  <c r="R53" i="21"/>
  <c r="R54" i="21" s="1"/>
  <c r="R56" i="21"/>
  <c r="R59" i="21"/>
  <c r="R52" i="21"/>
  <c r="J53" i="21"/>
  <c r="J54" i="21" s="1"/>
  <c r="J56" i="21"/>
  <c r="J59" i="21"/>
  <c r="J52" i="21"/>
  <c r="Q52" i="21"/>
  <c r="S56" i="21"/>
  <c r="K56" i="21"/>
  <c r="Q59" i="21"/>
  <c r="E58" i="2" l="1"/>
  <c r="D77" i="2"/>
  <c r="F26" i="2"/>
  <c r="F38" i="2" s="1"/>
  <c r="E38" i="2"/>
  <c r="E8" i="2"/>
  <c r="D20" i="2"/>
  <c r="E37" i="2"/>
  <c r="F25" i="2"/>
  <c r="F37" i="2" s="1"/>
  <c r="D78" i="2"/>
  <c r="E59" i="2"/>
  <c r="V60" i="1"/>
  <c r="M60" i="1"/>
  <c r="U60" i="1"/>
  <c r="U63" i="1"/>
  <c r="V63" i="1"/>
  <c r="M63" i="1"/>
  <c r="Q60" i="1"/>
  <c r="Q63" i="1"/>
  <c r="T60" i="1"/>
  <c r="T63" i="1"/>
  <c r="Y57" i="1"/>
  <c r="R57" i="1"/>
  <c r="Z57" i="1"/>
  <c r="L60" i="1"/>
  <c r="L63" i="1"/>
  <c r="K60" i="1"/>
  <c r="K63" i="1"/>
  <c r="W63" i="1"/>
  <c r="W60" i="1"/>
  <c r="J57" i="1"/>
  <c r="S60" i="1"/>
  <c r="S63" i="1"/>
  <c r="J60" i="21"/>
  <c r="J57" i="21"/>
  <c r="K60" i="21"/>
  <c r="K57" i="21"/>
  <c r="Q57" i="21"/>
  <c r="Q60" i="21"/>
  <c r="O57" i="21"/>
  <c r="O60" i="21"/>
  <c r="M54" i="21"/>
  <c r="R60" i="21"/>
  <c r="R57" i="21"/>
  <c r="T57" i="21"/>
  <c r="T60" i="21"/>
  <c r="S60" i="21"/>
  <c r="S57" i="21"/>
  <c r="L54" i="21"/>
  <c r="E77" i="2" l="1"/>
  <c r="F58" i="2"/>
  <c r="F77" i="2" s="1"/>
  <c r="E78" i="2"/>
  <c r="F59" i="2"/>
  <c r="F78" i="2" s="1"/>
  <c r="F8" i="2"/>
  <c r="F20" i="2" s="1"/>
  <c r="E20" i="2"/>
  <c r="V64" i="1"/>
  <c r="V65" i="1" s="1"/>
  <c r="U64" i="1"/>
  <c r="U65" i="1" s="1"/>
  <c r="M64" i="1"/>
  <c r="M65" i="1" s="1"/>
  <c r="K64" i="1"/>
  <c r="K65" i="1" s="1"/>
  <c r="S64" i="1"/>
  <c r="S65" i="1" s="1"/>
  <c r="T64" i="1"/>
  <c r="T65" i="1" s="1"/>
  <c r="T61" i="21"/>
  <c r="Q64" i="1"/>
  <c r="Q65" i="1" s="1"/>
  <c r="Z63" i="1"/>
  <c r="Z60" i="1"/>
  <c r="W64" i="1"/>
  <c r="W65" i="1" s="1"/>
  <c r="J60" i="1"/>
  <c r="J63" i="1"/>
  <c r="R60" i="1"/>
  <c r="R63" i="1"/>
  <c r="L64" i="1"/>
  <c r="L65" i="1" s="1"/>
  <c r="Y63" i="1"/>
  <c r="Y60" i="1"/>
  <c r="Q61" i="21"/>
  <c r="R61" i="21"/>
  <c r="S61" i="21"/>
  <c r="J61" i="21"/>
  <c r="O61" i="21"/>
  <c r="K61" i="21"/>
  <c r="L57" i="21"/>
  <c r="L60" i="21"/>
  <c r="M57" i="21"/>
  <c r="M60" i="21"/>
  <c r="M61" i="21" l="1"/>
  <c r="J64" i="1"/>
  <c r="J65" i="1" s="1"/>
  <c r="R64" i="1"/>
  <c r="R65" i="1" s="1"/>
  <c r="Y64" i="1"/>
  <c r="Y65" i="1" s="1"/>
  <c r="Z64" i="1"/>
  <c r="Z65" i="1" s="1"/>
  <c r="L61" i="21"/>
  <c r="B2" i="21" l="1"/>
  <c r="E31" i="21"/>
  <c r="E26" i="21"/>
  <c r="Z33" i="21"/>
  <c r="Y33" i="21"/>
  <c r="W33" i="21"/>
  <c r="V33" i="21"/>
  <c r="T33" i="21"/>
  <c r="S33" i="21"/>
  <c r="R33" i="21"/>
  <c r="Q33" i="21"/>
  <c r="P33" i="21"/>
  <c r="O33" i="21"/>
  <c r="M33" i="21"/>
  <c r="L33" i="21"/>
  <c r="K33" i="21"/>
  <c r="J33" i="21"/>
  <c r="I33" i="21"/>
  <c r="H33" i="21"/>
  <c r="X20" i="21"/>
  <c r="P20" i="21"/>
  <c r="E19" i="21"/>
  <c r="Y20" i="21"/>
  <c r="V20" i="21"/>
  <c r="S20" i="21"/>
  <c r="S35" i="21" s="1"/>
  <c r="Q20" i="21"/>
  <c r="N20" i="21"/>
  <c r="K20" i="21"/>
  <c r="I20" i="21"/>
  <c r="H20" i="21"/>
  <c r="E15" i="21"/>
  <c r="E14" i="21"/>
  <c r="E13" i="21"/>
  <c r="E12" i="21"/>
  <c r="E11" i="21"/>
  <c r="E10" i="21"/>
  <c r="H35" i="1"/>
  <c r="I35" i="1"/>
  <c r="J35" i="1"/>
  <c r="K35" i="1"/>
  <c r="L35" i="1"/>
  <c r="M35" i="1"/>
  <c r="N35" i="1"/>
  <c r="O35" i="1"/>
  <c r="P35" i="1"/>
  <c r="Q35" i="1"/>
  <c r="R35" i="1"/>
  <c r="S35" i="1"/>
  <c r="T35" i="1"/>
  <c r="U35" i="1"/>
  <c r="V35" i="1"/>
  <c r="W35" i="1"/>
  <c r="X35" i="1"/>
  <c r="Y35" i="1"/>
  <c r="Z35" i="1"/>
  <c r="G35" i="1"/>
  <c r="H18" i="1"/>
  <c r="I18" i="1"/>
  <c r="J18" i="1"/>
  <c r="K18" i="1"/>
  <c r="L18" i="1"/>
  <c r="M18" i="1"/>
  <c r="N18" i="1"/>
  <c r="O18" i="1"/>
  <c r="P18" i="1"/>
  <c r="Q18" i="1"/>
  <c r="R18" i="1"/>
  <c r="S18" i="1"/>
  <c r="T18" i="1"/>
  <c r="U18" i="1"/>
  <c r="V18" i="1"/>
  <c r="W18" i="1"/>
  <c r="X18" i="1"/>
  <c r="Y18" i="1"/>
  <c r="Z18" i="1"/>
  <c r="H19" i="1"/>
  <c r="I19" i="1"/>
  <c r="J19" i="1"/>
  <c r="K19" i="1"/>
  <c r="L19" i="1"/>
  <c r="M19" i="1"/>
  <c r="N19" i="1"/>
  <c r="O19" i="1"/>
  <c r="P19" i="1"/>
  <c r="Q19" i="1"/>
  <c r="R19" i="1"/>
  <c r="S19" i="1"/>
  <c r="T19" i="1"/>
  <c r="U19" i="1"/>
  <c r="V19" i="1"/>
  <c r="W19" i="1"/>
  <c r="X19" i="1"/>
  <c r="Y19" i="1"/>
  <c r="Z19" i="1"/>
  <c r="H31" i="1"/>
  <c r="I31" i="1"/>
  <c r="J31" i="1"/>
  <c r="K31" i="1"/>
  <c r="L31" i="1"/>
  <c r="M31" i="1"/>
  <c r="N31" i="1"/>
  <c r="O31" i="1"/>
  <c r="P31" i="1"/>
  <c r="Q31" i="1"/>
  <c r="R31" i="1"/>
  <c r="S31" i="1"/>
  <c r="T31" i="1"/>
  <c r="U31" i="1"/>
  <c r="V31" i="1"/>
  <c r="W31" i="1"/>
  <c r="X31" i="1"/>
  <c r="Y31" i="1"/>
  <c r="Z31" i="1"/>
  <c r="H32" i="1"/>
  <c r="I32" i="1"/>
  <c r="J32" i="1"/>
  <c r="K32" i="1"/>
  <c r="L32" i="1"/>
  <c r="M32" i="1"/>
  <c r="N32" i="1"/>
  <c r="O32" i="1"/>
  <c r="P32" i="1"/>
  <c r="Q32" i="1"/>
  <c r="R32" i="1"/>
  <c r="S32" i="1"/>
  <c r="T32" i="1"/>
  <c r="U32" i="1"/>
  <c r="V32" i="1"/>
  <c r="W32" i="1"/>
  <c r="X32" i="1"/>
  <c r="Y32" i="1"/>
  <c r="Z32" i="1"/>
  <c r="H33" i="1"/>
  <c r="I33" i="1"/>
  <c r="J33" i="1"/>
  <c r="K33" i="1"/>
  <c r="L33" i="1"/>
  <c r="M33" i="1"/>
  <c r="N33" i="1"/>
  <c r="O33" i="1"/>
  <c r="P33" i="1"/>
  <c r="Q33" i="1"/>
  <c r="R33" i="1"/>
  <c r="S33" i="1"/>
  <c r="T33" i="1"/>
  <c r="U33" i="1"/>
  <c r="V33" i="1"/>
  <c r="W33" i="1"/>
  <c r="X33" i="1"/>
  <c r="Y33" i="1"/>
  <c r="Z33" i="1"/>
  <c r="B2" i="20"/>
  <c r="B2" i="1"/>
  <c r="H23" i="1" l="1"/>
  <c r="H38" i="1" s="1"/>
  <c r="Z20" i="1"/>
  <c r="R20" i="1"/>
  <c r="J20" i="1"/>
  <c r="O23" i="1"/>
  <c r="O38" i="1" s="1"/>
  <c r="K35" i="21"/>
  <c r="K42" i="21" s="1"/>
  <c r="X33" i="21"/>
  <c r="X35" i="21" s="1"/>
  <c r="N20" i="1"/>
  <c r="M20" i="1"/>
  <c r="V35" i="21"/>
  <c r="V45" i="21" s="1"/>
  <c r="S42" i="21"/>
  <c r="S45" i="21"/>
  <c r="S62" i="21"/>
  <c r="U20" i="1"/>
  <c r="P20" i="1"/>
  <c r="H35" i="21"/>
  <c r="K20" i="1"/>
  <c r="I35" i="21"/>
  <c r="P35" i="21"/>
  <c r="V20" i="1"/>
  <c r="Y20" i="1"/>
  <c r="Q20" i="1"/>
  <c r="I20" i="1"/>
  <c r="I51" i="1" s="1"/>
  <c r="Q35" i="21"/>
  <c r="X20" i="1"/>
  <c r="H20" i="1"/>
  <c r="W20" i="1"/>
  <c r="O20" i="1"/>
  <c r="O51" i="1" s="1"/>
  <c r="Y35" i="21"/>
  <c r="R38" i="1"/>
  <c r="W38" i="1"/>
  <c r="E18" i="21"/>
  <c r="R20" i="21"/>
  <c r="R35" i="21" s="1"/>
  <c r="Z20" i="21"/>
  <c r="E27" i="21"/>
  <c r="E32" i="21"/>
  <c r="L20" i="21"/>
  <c r="L35" i="21" s="1"/>
  <c r="T20" i="21"/>
  <c r="T35" i="21" s="1"/>
  <c r="N33" i="21"/>
  <c r="N35" i="21" s="1"/>
  <c r="Z38" i="1"/>
  <c r="N38" i="1"/>
  <c r="T20" i="1"/>
  <c r="L20" i="1"/>
  <c r="M20" i="21"/>
  <c r="M35" i="21" s="1"/>
  <c r="U20" i="21"/>
  <c r="E22" i="21"/>
  <c r="U33" i="21"/>
  <c r="G20" i="21"/>
  <c r="O20" i="21"/>
  <c r="O35" i="21" s="1"/>
  <c r="W20" i="21"/>
  <c r="E25" i="21"/>
  <c r="E30" i="21"/>
  <c r="J20" i="21"/>
  <c r="J35" i="21" s="1"/>
  <c r="K38" i="1"/>
  <c r="Q38" i="1"/>
  <c r="I38" i="1"/>
  <c r="T38" i="1"/>
  <c r="L38" i="1"/>
  <c r="J38" i="1"/>
  <c r="M38" i="1"/>
  <c r="Y38" i="1"/>
  <c r="S20" i="1"/>
  <c r="X38" i="1"/>
  <c r="P38" i="1"/>
  <c r="V38" i="1"/>
  <c r="H51" i="1" l="1"/>
  <c r="K62" i="21"/>
  <c r="O56" i="1"/>
  <c r="O57" i="1" s="1"/>
  <c r="O55" i="1"/>
  <c r="V62" i="21"/>
  <c r="K45" i="21"/>
  <c r="V42" i="21"/>
  <c r="L45" i="21"/>
  <c r="L62" i="21"/>
  <c r="L42" i="21"/>
  <c r="M42" i="21"/>
  <c r="M45" i="21"/>
  <c r="M62" i="21"/>
  <c r="I42" i="21"/>
  <c r="I49" i="21" s="1"/>
  <c r="I45" i="21"/>
  <c r="I48" i="21" s="1"/>
  <c r="J42" i="21"/>
  <c r="J45" i="21"/>
  <c r="J62" i="21"/>
  <c r="H42" i="21"/>
  <c r="H49" i="21" s="1"/>
  <c r="H45" i="21"/>
  <c r="H48" i="21" s="1"/>
  <c r="N42" i="21"/>
  <c r="N49" i="21" s="1"/>
  <c r="N52" i="1" s="1"/>
  <c r="N45" i="21"/>
  <c r="N48" i="21" s="1"/>
  <c r="O42" i="21"/>
  <c r="O45" i="21"/>
  <c r="O62" i="21"/>
  <c r="T62" i="21"/>
  <c r="T42" i="21"/>
  <c r="T45" i="21"/>
  <c r="R42" i="21"/>
  <c r="R45" i="21"/>
  <c r="R62" i="21"/>
  <c r="P42" i="21"/>
  <c r="P49" i="21" s="1"/>
  <c r="P45" i="21"/>
  <c r="P48" i="21" s="1"/>
  <c r="Q42" i="21"/>
  <c r="Q45" i="21"/>
  <c r="Q62" i="21"/>
  <c r="Y62" i="21"/>
  <c r="Y45" i="21"/>
  <c r="Y42" i="21"/>
  <c r="V56" i="21"/>
  <c r="V59" i="21"/>
  <c r="V52" i="21"/>
  <c r="V53" i="21"/>
  <c r="V54" i="21" s="1"/>
  <c r="X45" i="21"/>
  <c r="X48" i="21" s="1"/>
  <c r="X42" i="21"/>
  <c r="X49" i="21" s="1"/>
  <c r="X52" i="1" s="1"/>
  <c r="U38" i="1"/>
  <c r="Z35" i="21"/>
  <c r="W35" i="21"/>
  <c r="U35" i="21"/>
  <c r="E20" i="21"/>
  <c r="E28" i="21"/>
  <c r="S38" i="1"/>
  <c r="O60" i="1" l="1"/>
  <c r="O63" i="1"/>
  <c r="P53" i="21"/>
  <c r="P54" i="21" s="1"/>
  <c r="P52" i="1"/>
  <c r="P59" i="21"/>
  <c r="P56" i="21"/>
  <c r="P52" i="21"/>
  <c r="I52" i="1"/>
  <c r="I53" i="21"/>
  <c r="I56" i="21"/>
  <c r="I52" i="21"/>
  <c r="I59" i="21"/>
  <c r="H53" i="21"/>
  <c r="H52" i="1"/>
  <c r="H56" i="21"/>
  <c r="H52" i="21"/>
  <c r="H59" i="21"/>
  <c r="N59" i="1"/>
  <c r="N56" i="1"/>
  <c r="N57" i="1" s="1"/>
  <c r="N62" i="1"/>
  <c r="N55" i="1"/>
  <c r="X62" i="1"/>
  <c r="X55" i="1"/>
  <c r="X59" i="1"/>
  <c r="X56" i="1"/>
  <c r="X57" i="1" s="1"/>
  <c r="N56" i="21"/>
  <c r="N59" i="21"/>
  <c r="N52" i="21"/>
  <c r="N53" i="21"/>
  <c r="N54" i="21" s="1"/>
  <c r="V57" i="21"/>
  <c r="V60" i="21"/>
  <c r="U45" i="21"/>
  <c r="U48" i="21" s="1"/>
  <c r="U42" i="21"/>
  <c r="U49" i="21" s="1"/>
  <c r="W62" i="21"/>
  <c r="W45" i="21"/>
  <c r="W42" i="21"/>
  <c r="X53" i="21"/>
  <c r="X54" i="21" s="1"/>
  <c r="X59" i="21"/>
  <c r="X52" i="21"/>
  <c r="X56" i="21"/>
  <c r="Y53" i="21"/>
  <c r="Y54" i="21" s="1"/>
  <c r="Y52" i="21"/>
  <c r="Y56" i="21"/>
  <c r="Y59" i="21"/>
  <c r="Z62" i="21"/>
  <c r="Z45" i="21"/>
  <c r="Z42" i="21"/>
  <c r="E29" i="21"/>
  <c r="G35" i="21"/>
  <c r="E5" i="20"/>
  <c r="O64" i="1" l="1"/>
  <c r="O65" i="1" s="1"/>
  <c r="P60" i="21"/>
  <c r="P57" i="21"/>
  <c r="P62" i="1"/>
  <c r="P59" i="1"/>
  <c r="P56" i="1"/>
  <c r="P57" i="1" s="1"/>
  <c r="P55" i="1"/>
  <c r="I59" i="1"/>
  <c r="I62" i="1"/>
  <c r="I55" i="1"/>
  <c r="I56" i="1"/>
  <c r="I57" i="1" s="1"/>
  <c r="I54" i="21"/>
  <c r="H62" i="1"/>
  <c r="H59" i="1"/>
  <c r="H55" i="1"/>
  <c r="H56" i="1"/>
  <c r="H57" i="1" s="1"/>
  <c r="H54" i="21"/>
  <c r="V61" i="21"/>
  <c r="N60" i="1"/>
  <c r="N63" i="1"/>
  <c r="X63" i="1"/>
  <c r="X60" i="1"/>
  <c r="G42" i="21"/>
  <c r="G49" i="21" s="1"/>
  <c r="G52" i="1" s="1"/>
  <c r="G45" i="21"/>
  <c r="G48" i="21" s="1"/>
  <c r="N57" i="21"/>
  <c r="N60" i="21"/>
  <c r="Y60" i="21"/>
  <c r="Y57" i="21"/>
  <c r="X57" i="21"/>
  <c r="X60" i="21"/>
  <c r="U53" i="21"/>
  <c r="U54" i="21" s="1"/>
  <c r="U56" i="21"/>
  <c r="U59" i="21"/>
  <c r="U52" i="21"/>
  <c r="Z52" i="21"/>
  <c r="Z53" i="21"/>
  <c r="Z54" i="21" s="1"/>
  <c r="Z56" i="21"/>
  <c r="Z59" i="21"/>
  <c r="W53" i="21"/>
  <c r="W54" i="21" s="1"/>
  <c r="W56" i="21"/>
  <c r="W59" i="21"/>
  <c r="W52" i="21"/>
  <c r="E24" i="21"/>
  <c r="D86" i="2"/>
  <c r="E86" i="2" s="1"/>
  <c r="F86" i="2" s="1"/>
  <c r="P61" i="21" l="1"/>
  <c r="P62" i="21" s="1"/>
  <c r="P60" i="1"/>
  <c r="P63" i="1"/>
  <c r="I63" i="1"/>
  <c r="I60" i="1"/>
  <c r="I57" i="21"/>
  <c r="I60" i="21"/>
  <c r="H57" i="21"/>
  <c r="H60" i="21"/>
  <c r="H60" i="1"/>
  <c r="H63" i="1"/>
  <c r="N64" i="1"/>
  <c r="N65" i="1" s="1"/>
  <c r="X64" i="1"/>
  <c r="X65" i="1" s="1"/>
  <c r="G59" i="1"/>
  <c r="G62" i="1"/>
  <c r="N61" i="21"/>
  <c r="N62" i="21" s="1"/>
  <c r="Y61" i="21"/>
  <c r="X61" i="21"/>
  <c r="X62" i="21" s="1"/>
  <c r="W57" i="21"/>
  <c r="W60" i="21"/>
  <c r="U60" i="21"/>
  <c r="U57" i="21"/>
  <c r="Z60" i="21"/>
  <c r="Z57" i="21"/>
  <c r="E23" i="21"/>
  <c r="U61" i="21" l="1"/>
  <c r="U62" i="21" s="1"/>
  <c r="H61" i="21"/>
  <c r="H62" i="21" s="1"/>
  <c r="P64" i="1"/>
  <c r="P65" i="1" s="1"/>
  <c r="I61" i="21"/>
  <c r="I62" i="21" s="1"/>
  <c r="I64" i="1"/>
  <c r="I65" i="1" s="1"/>
  <c r="H64" i="1"/>
  <c r="H65" i="1" s="1"/>
  <c r="Z61" i="21"/>
  <c r="W61" i="21"/>
  <c r="E12" i="1"/>
  <c r="E35" i="21" l="1"/>
  <c r="E10" i="1"/>
  <c r="E7" i="20" s="1"/>
  <c r="E8" i="20" s="1"/>
  <c r="E44" i="1"/>
  <c r="E43" i="1"/>
  <c r="E42" i="1"/>
  <c r="E41" i="1"/>
  <c r="E40" i="1"/>
  <c r="E35" i="1"/>
  <c r="E13" i="1"/>
  <c r="E14" i="1"/>
  <c r="E15" i="1"/>
  <c r="F19" i="20" l="1"/>
  <c r="F21" i="20"/>
  <c r="F14" i="20"/>
  <c r="F18" i="20"/>
  <c r="F11" i="20"/>
  <c r="F12" i="20"/>
  <c r="F16" i="20"/>
  <c r="F20" i="20"/>
  <c r="F13" i="20"/>
  <c r="F22" i="20"/>
  <c r="F15" i="20"/>
  <c r="F17" i="20"/>
  <c r="E11" i="1"/>
  <c r="F24" i="20" l="1"/>
  <c r="H45" i="1"/>
  <c r="I45" i="1"/>
  <c r="J45" i="1"/>
  <c r="K45" i="1"/>
  <c r="L45" i="1"/>
  <c r="M45" i="1"/>
  <c r="N45" i="1"/>
  <c r="O45" i="1"/>
  <c r="P45" i="1"/>
  <c r="Q45" i="1"/>
  <c r="R45" i="1"/>
  <c r="S45" i="1"/>
  <c r="T45" i="1"/>
  <c r="U45" i="1"/>
  <c r="V45" i="1"/>
  <c r="W45" i="1"/>
  <c r="X45" i="1"/>
  <c r="Y45" i="1"/>
  <c r="Z45" i="1"/>
  <c r="G33" i="1"/>
  <c r="G32" i="1"/>
  <c r="G31" i="1"/>
  <c r="G19" i="1"/>
  <c r="G18" i="1"/>
  <c r="E34" i="1" l="1"/>
  <c r="E18" i="1"/>
  <c r="E26" i="1"/>
  <c r="E27" i="1"/>
  <c r="E30" i="1"/>
  <c r="E32" i="1"/>
  <c r="E19" i="1"/>
  <c r="E33" i="1"/>
  <c r="E22" i="1"/>
  <c r="E37" i="1"/>
  <c r="E31" i="1"/>
  <c r="E25" i="1"/>
  <c r="T47" i="1" l="1"/>
  <c r="T67" i="1" s="1"/>
  <c r="Z47" i="1"/>
  <c r="Z67" i="1" s="1"/>
  <c r="Q47" i="1"/>
  <c r="Q67" i="1" s="1"/>
  <c r="X47" i="1"/>
  <c r="X67" i="1" s="1"/>
  <c r="I47" i="1"/>
  <c r="I67" i="1" s="1"/>
  <c r="K47" i="1"/>
  <c r="K67" i="1" s="1"/>
  <c r="M47" i="1"/>
  <c r="M67" i="1" s="1"/>
  <c r="N47" i="1"/>
  <c r="N67" i="1" s="1"/>
  <c r="R47" i="1"/>
  <c r="R67" i="1" s="1"/>
  <c r="Y47" i="1"/>
  <c r="Y67" i="1" s="1"/>
  <c r="U47" i="1"/>
  <c r="U67" i="1" s="1"/>
  <c r="J47" i="1"/>
  <c r="J67" i="1" s="1"/>
  <c r="L47" i="1"/>
  <c r="L67" i="1" s="1"/>
  <c r="S47" i="1"/>
  <c r="S67" i="1" s="1"/>
  <c r="P47" i="1"/>
  <c r="P67" i="1" s="1"/>
  <c r="H47" i="1"/>
  <c r="H67" i="1" s="1"/>
  <c r="O47" i="1"/>
  <c r="O67" i="1" s="1"/>
  <c r="W47" i="1"/>
  <c r="W67" i="1" s="1"/>
  <c r="V47" i="1"/>
  <c r="V67" i="1" s="1"/>
  <c r="E32" i="11" l="1"/>
  <c r="E28" i="11"/>
  <c r="E24" i="11"/>
  <c r="F26" i="11" l="1"/>
  <c r="F27" i="11"/>
  <c r="F23" i="11"/>
  <c r="F22" i="11"/>
  <c r="F30" i="11"/>
  <c r="F32" i="11" s="1"/>
  <c r="F31" i="11"/>
  <c r="F24" i="11"/>
  <c r="F28" i="11"/>
  <c r="F36" i="11" l="1"/>
  <c r="G45" i="1" l="1"/>
  <c r="F10" i="16"/>
  <c r="F9" i="16"/>
  <c r="F8" i="16"/>
  <c r="F7" i="16"/>
  <c r="F12" i="16"/>
  <c r="E5" i="16"/>
  <c r="E76" i="11"/>
  <c r="E96" i="11"/>
  <c r="E56" i="11"/>
  <c r="E50" i="11"/>
  <c r="E40" i="11"/>
  <c r="E5" i="11"/>
  <c r="F14" i="16" l="1"/>
  <c r="F112" i="11"/>
  <c r="F92" i="11"/>
  <c r="F72" i="11"/>
  <c r="F46" i="11"/>
  <c r="B4" i="2"/>
  <c r="C2" i="2" l="1"/>
  <c r="C4" i="2" l="1"/>
  <c r="D2" i="2"/>
  <c r="G20" i="1"/>
  <c r="E20" i="1" l="1"/>
  <c r="E29" i="1"/>
  <c r="E28" i="1"/>
  <c r="D4" i="2"/>
  <c r="E2" i="2"/>
  <c r="E4" i="2" l="1"/>
  <c r="F2" i="2"/>
  <c r="G38" i="1" l="1"/>
  <c r="G47" i="1" s="1"/>
  <c r="G51" i="1"/>
  <c r="E24" i="1"/>
  <c r="E23" i="1"/>
  <c r="F4" i="2"/>
  <c r="G56" i="1" l="1"/>
  <c r="G55" i="1"/>
  <c r="E38" i="1"/>
  <c r="E47" i="1"/>
  <c r="G57" i="1" l="1"/>
  <c r="G60" i="1" s="1"/>
  <c r="G59" i="21"/>
  <c r="G52" i="21"/>
  <c r="G53" i="21"/>
  <c r="G56" i="21"/>
  <c r="G63" i="1" l="1"/>
  <c r="G64" i="1" s="1"/>
  <c r="G65" i="1" s="1"/>
  <c r="G54" i="21"/>
  <c r="G57" i="21" s="1"/>
  <c r="G60" i="21" l="1"/>
  <c r="G61" i="21" s="1"/>
  <c r="G62" i="21" s="1"/>
  <c r="E62" i="21" s="1"/>
  <c r="G67" i="1"/>
  <c r="E67" i="1" s="1"/>
  <c r="E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C10" authorId="0" shapeId="0" xr:uid="{5FF4D6F9-60F5-433E-BC4F-5AC8746AEB13}">
      <text>
        <r>
          <rPr>
            <sz val="9"/>
            <color indexed="81"/>
            <rFont val="Tahoma"/>
            <family val="2"/>
          </rPr>
          <t xml:space="preserve">wanneer er sprake is van 1 of meer nevenvestiging(en), betreft het hier de leerlingen van leerlingen van de hoofdvestigingen en nevenvestiging(en) bij elkaar opgeteld)
</t>
        </r>
      </text>
    </comment>
    <comment ref="C11" authorId="0" shapeId="0" xr:uid="{BC92F3EB-CDAF-4D8D-BC83-C604787BF969}">
      <text>
        <r>
          <rPr>
            <sz val="9"/>
            <color indexed="81"/>
            <rFont val="Tahoma"/>
            <family val="2"/>
          </rPr>
          <t xml:space="preserve">het betreft hier de som van de achterstandsscores van alle (neven)vestigingen vallend onder dit brinnummer
</t>
        </r>
      </text>
    </comment>
    <comment ref="C12" authorId="0" shapeId="0" xr:uid="{E5672B4C-DEE5-422D-B919-9D7B28F13FC3}">
      <text>
        <r>
          <rPr>
            <sz val="9"/>
            <color indexed="81"/>
            <rFont val="Tahoma"/>
            <family val="2"/>
          </rPr>
          <t xml:space="preserve">In de berekening wordt er automatisch vanuit gegaan, dat het aantal leerlingen (totaal) minus de som van het aantal leerlingen op de nevenvestigingen het aantal leerlingen op de hoofdvestiging is.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Reinier Goedhart</author>
  </authors>
  <commentList>
    <comment ref="C10" authorId="0" shapeId="0" xr:uid="{09C887EA-50AE-48A1-9E52-DBE4E6D72931}">
      <text>
        <r>
          <rPr>
            <sz val="9"/>
            <color indexed="81"/>
            <rFont val="Tahoma"/>
            <family val="2"/>
          </rPr>
          <t xml:space="preserve">wanneer er sprake is van 1 of meer nevenvestiging(en), betreft het hier de leerlingen van leerlingen van de hoofdvestigingen en nevenvestiging(en) bij elkaar opgeteld)
</t>
        </r>
      </text>
    </comment>
    <comment ref="C11" authorId="0" shapeId="0" xr:uid="{907D6F63-4EF3-4A24-8FB5-BBA800D00D74}">
      <text>
        <r>
          <rPr>
            <sz val="9"/>
            <color indexed="81"/>
            <rFont val="Tahoma"/>
            <family val="2"/>
          </rPr>
          <t xml:space="preserve">het betreft hier de som van de achterstandsscores van alle (neven)vestigingen vallend onder dit brinnummer
</t>
        </r>
      </text>
    </comment>
    <comment ref="C12" authorId="0" shapeId="0" xr:uid="{E773B88B-328E-4578-B6B6-735683EABB80}">
      <text>
        <r>
          <rPr>
            <sz val="9"/>
            <color indexed="81"/>
            <rFont val="Tahoma"/>
            <family val="2"/>
          </rPr>
          <t xml:space="preserve">In de berekening wordt er automatisch vanuit gegaan, dat het aantal leerlingen (totaal) minus de som van het aantal leerlingen op de nevenvestigingen het aantal leerlingen op de hoofdvestiging is.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Kitty Attema</author>
  </authors>
  <commentList>
    <comment ref="C10" authorId="0" shapeId="0" xr:uid="{354DB4CB-2C68-4102-A5AC-D553FED57095}">
      <text>
        <r>
          <rPr>
            <sz val="9"/>
            <color indexed="81"/>
            <rFont val="Tahoma"/>
            <family val="2"/>
          </rPr>
          <t>De teldatum 1 feb t-1 bepaalt de reguliere bekostiging in jaar t. Dus 1 feb 2023 bepaalt 2024. De nieuwkomerstelling op 1 jan 2024 bepaalt de aanvullende bekostiging jan-maart 2024.</t>
        </r>
      </text>
    </comment>
    <comment ref="D10" authorId="0" shapeId="0" xr:uid="{513A2669-7EBF-46EF-A760-B8AA5991C39F}">
      <text>
        <r>
          <rPr>
            <sz val="9"/>
            <color indexed="81"/>
            <rFont val="Tahoma"/>
            <family val="2"/>
          </rPr>
          <t xml:space="preserve">At = het totaal aantal op 1 februari van het voorgaande schooljaar ingeschreven leerlingen dat op de eerste schooldag asielzoeker is.
</t>
        </r>
      </text>
    </comment>
    <comment ref="C11" authorId="0" shapeId="0" xr:uid="{4802984E-6CFE-41FD-A21B-CC77E538E3DA}">
      <text>
        <r>
          <rPr>
            <sz val="9"/>
            <color indexed="81"/>
            <rFont val="Tahoma"/>
            <family val="2"/>
          </rPr>
          <t>De teldatum 1 feb t-1 bepaalt de reguliere bekostiging in jaar t. Dus 1 feb 2023 bepaalt 2024. De nieuwkomerstelling op 1 jan 2024 bepaalt de aanvullende bekostiging jan-maart 2024
.</t>
        </r>
      </text>
    </comment>
    <comment ref="D14" authorId="0" shapeId="0" xr:uid="{5A555C36-406B-4E11-9E4D-8D8F2751130B}">
      <text>
        <r>
          <rPr>
            <sz val="9"/>
            <color indexed="81"/>
            <rFont val="Tahoma"/>
            <family val="2"/>
          </rPr>
          <t xml:space="preserve">Ap = het aantal op de peildatum ingeschreven leerlingen dat asielzoeker is;
</t>
        </r>
      </text>
    </comment>
    <comment ref="D15" authorId="0" shapeId="0" xr:uid="{F69973F0-42EA-459F-9785-C2F88497B89F}">
      <text>
        <r>
          <rPr>
            <sz val="9"/>
            <color indexed="81"/>
            <rFont val="Tahoma"/>
            <family val="2"/>
          </rPr>
          <t>Vp = het aantal op de peildatum ingeschreven leerlingen dat overige vreemdeling is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Kitty Attema</author>
    <author>Reinier Goedhart</author>
  </authors>
  <commentList>
    <comment ref="B5" authorId="0" shapeId="0" xr:uid="{4F366533-2792-44C3-BDD0-C945CA041E40}">
      <text>
        <r>
          <rPr>
            <sz val="9"/>
            <color indexed="81"/>
            <rFont val="Tahoma"/>
            <family val="2"/>
          </rPr>
          <t xml:space="preserve">Dit percentage NIET aanpassen. De overgangsregeling wordt dan niet meer correct berekend. </t>
        </r>
        <r>
          <rPr>
            <sz val="9"/>
            <color indexed="81"/>
            <rFont val="Tahoma"/>
            <family val="2"/>
          </rPr>
          <t xml:space="preserve">
</t>
        </r>
      </text>
    </comment>
    <comment ref="B69" authorId="0" shapeId="0" xr:uid="{7DABD37D-B51E-4BFB-8570-C75306BDC819}">
      <text>
        <r>
          <rPr>
            <sz val="11"/>
            <color theme="1"/>
            <rFont val="Calibri"/>
            <family val="2"/>
            <scheme val="minor"/>
          </rPr>
          <t>In dit bedrag per leerling is geen korting verwerkt.</t>
        </r>
      </text>
    </comment>
    <comment ref="J69" authorId="0" shapeId="0" xr:uid="{2A477998-F9EC-49B2-800F-D5B64F5018CB}">
      <text>
        <r>
          <rPr>
            <sz val="11"/>
            <color theme="1"/>
            <rFont val="Calibri"/>
            <family val="2"/>
            <scheme val="minor"/>
          </rPr>
          <t>Kitty Attema:
€ 13,50 korting is hierin verwerkt; de evt. compensatie niet.</t>
        </r>
      </text>
    </comment>
    <comment ref="J74" authorId="1" shapeId="0" xr:uid="{B9ABF548-0062-41B6-8C19-D19DC281E7A5}">
      <text>
        <r>
          <rPr>
            <sz val="9"/>
            <color indexed="81"/>
            <rFont val="Tahoma"/>
            <family val="2"/>
          </rPr>
          <t xml:space="preserve">
https://zoek.officielebekendmakingen.nl/stcrt-2023-16485.html</t>
        </r>
      </text>
    </comment>
    <comment ref="J75" authorId="1" shapeId="0" xr:uid="{A1C2F333-CA92-45C4-8E89-3F6B2642FEA5}">
      <text>
        <r>
          <rPr>
            <sz val="9"/>
            <color indexed="81"/>
            <rFont val="Tahoma"/>
            <family val="2"/>
          </rPr>
          <t xml:space="preserve">
https://zoek.officielebekendmakingen.nl/stcrt-2023-16485.html</t>
        </r>
      </text>
    </comment>
    <comment ref="B76" authorId="0" shapeId="0" xr:uid="{8A6C670D-04FF-421A-8433-8C822AA21310}">
      <text>
        <r>
          <rPr>
            <sz val="11"/>
            <color theme="1"/>
            <rFont val="Calibri"/>
            <family val="2"/>
            <scheme val="minor"/>
          </rPr>
          <t>In dit bedrag per leerling is geen korting verwerkt.</t>
        </r>
      </text>
    </comment>
    <comment ref="J76" authorId="0" shapeId="0" xr:uid="{7B9DA8FF-D3E4-4579-82C7-251D8E927FFE}">
      <text>
        <r>
          <rPr>
            <sz val="11"/>
            <color theme="1"/>
            <rFont val="Calibri"/>
            <family val="2"/>
            <scheme val="minor"/>
          </rPr>
          <t>Kitty Attema:
€ 12,50 korting is hierin verwerkt. De evt. compensatie niet.</t>
        </r>
      </text>
    </comment>
  </commentList>
</comments>
</file>

<file path=xl/sharedStrings.xml><?xml version="1.0" encoding="utf-8"?>
<sst xmlns="http://schemas.openxmlformats.org/spreadsheetml/2006/main" count="335" uniqueCount="224">
  <si>
    <t xml:space="preserve"> </t>
  </si>
  <si>
    <t>MODEL BEREKENING (VEREENVOUDIGDE) BEKOSTIGING PER 1-1-2023</t>
  </si>
  <si>
    <t>versie 19 mei 2022</t>
  </si>
  <si>
    <t>Dit model geeft inzicht in de berekening van de vereenvoudigde bekostiging van basisscholen, speciale basisscholen en scholen voor (voortgezet) speciaal onderwijs per kalenderjaar 2023.</t>
  </si>
  <si>
    <t>Voor meer informatie over de vereenvoudiging van de bekostiging, verwijzen we u naar de website van OCW:</t>
  </si>
  <si>
    <t xml:space="preserve">https://www.rijksoverheid.nl/onderwerpen/financiering-onderwijs/financiering-primair-onderwijs/vereenvoudiging-bekostiging-primair-onderwijs </t>
  </si>
  <si>
    <t>en naar de website van de PO-Raad:</t>
  </si>
  <si>
    <t xml:space="preserve">https://www.poraad.nl/werkgeverschap/financien/vereenvoudiging-bekostiging </t>
  </si>
  <si>
    <t>In dit model wordt uitgegaan van de bedragen in de eerste regeling bekostiging personeel 2022-2023 en de materiele instandhouding 2022, welke  waar mogelijk zijn aangepast op de leerlingtelling van 1 februari 2021. Dit omdat de bekostiging per kalenderjaar 2023 zal worden vastgesteld op basis van de telling op 1 februari t-1.</t>
  </si>
  <si>
    <t xml:space="preserve">Enkele bedragen kunnen nog niet worden berekend. In het werkblad tab zijn deze daarom geel gekleurd. </t>
  </si>
  <si>
    <r>
      <t>Dit model een</t>
    </r>
    <r>
      <rPr>
        <b/>
        <sz val="11"/>
        <color rgb="FFFF0000"/>
        <rFont val="Calibri"/>
        <family val="2"/>
        <scheme val="minor"/>
      </rPr>
      <t xml:space="preserve"> </t>
    </r>
    <r>
      <rPr>
        <b/>
        <i/>
        <u/>
        <sz val="11"/>
        <color rgb="FFC00000"/>
        <rFont val="Calibri"/>
        <family val="2"/>
        <scheme val="minor"/>
      </rPr>
      <t>indicatie</t>
    </r>
    <r>
      <rPr>
        <sz val="11"/>
        <color theme="1"/>
        <rFont val="Calibri"/>
        <family val="2"/>
        <scheme val="minor"/>
      </rPr>
      <t xml:space="preserve"> van de bekostiging per kalenderjaar 2023. Pas nadat de eerste regeling bekostiging PO 2023 is gepubliceerd (najaar van 2022) worden er beschikkingen afgegeven.</t>
    </r>
  </si>
  <si>
    <t xml:space="preserve">Om de bekostiging op het niveau van RIO (v.h. BRIN) te kunnen berekenen, dienen de grijze velden te worden ingevuld (voor zover voor de betreffende school van toepassing). </t>
  </si>
  <si>
    <t>Indien u bekostiging in geval van fusie of samengaan wilt berekenen, dan is hiervoor een apart model beschikbaar op de website van de PO-Raad</t>
  </si>
  <si>
    <r>
      <t>De werkbladen zijn beveiligd, zonder wachtwoord. Voor het opheffen van de beveiliging kiest u boven in uw scherm c</t>
    </r>
    <r>
      <rPr>
        <i/>
        <sz val="11"/>
        <color theme="1"/>
        <rFont val="Calibri"/>
        <family val="2"/>
        <scheme val="minor"/>
      </rPr>
      <t>ontroleren/beveiliging blad opheffen</t>
    </r>
    <r>
      <rPr>
        <sz val="11"/>
        <color theme="1"/>
        <rFont val="Calibri"/>
        <family val="2"/>
        <scheme val="minor"/>
      </rPr>
      <t xml:space="preserve">. </t>
    </r>
  </si>
  <si>
    <t xml:space="preserve">Vragen over de vereenvoudiging van de bekostiging kunt u stellen aan de juridische helpdesk van de PO-Raad, via het ledenportaal door een mail te sturen naar vereenvoudiging@poraad.nl </t>
  </si>
  <si>
    <t>naam</t>
  </si>
  <si>
    <t>TOTAAL</t>
  </si>
  <si>
    <t>bestuurs/brinnummer</t>
  </si>
  <si>
    <t>00AA</t>
  </si>
  <si>
    <t>Gegevens</t>
  </si>
  <si>
    <t>Aantal leerlingen (totaal)</t>
  </si>
  <si>
    <t>Aantal leerlingen nevenvestiging 1</t>
  </si>
  <si>
    <t>Aantal leerlingen nevenvestiging 2</t>
  </si>
  <si>
    <t>Aantal NOAT leerlingen</t>
  </si>
  <si>
    <t>Aantal IGBO leerlingen</t>
  </si>
  <si>
    <t>Basisbekostiging</t>
  </si>
  <si>
    <t>Bedrag per leerling</t>
  </si>
  <si>
    <t>Bedrag per school</t>
  </si>
  <si>
    <t>Extra bekostiging</t>
  </si>
  <si>
    <t>Kleine scholentoeslag</t>
  </si>
  <si>
    <t>Zeer kleine scholentoeslag</t>
  </si>
  <si>
    <t xml:space="preserve">berekening kst hoofdvestiging </t>
  </si>
  <si>
    <t>berekening kst nevenvestiging 1</t>
  </si>
  <si>
    <t>berekening kst nevenvestiging 2</t>
  </si>
  <si>
    <t>daadwerkelijk kst ontvangen</t>
  </si>
  <si>
    <t>60% verschil: berekening kst per vestiging -/- daadwerkelijke kst</t>
  </si>
  <si>
    <t>plus: bedrag nevenvestiging BO</t>
  </si>
  <si>
    <t>Onderwijsachterstanden</t>
  </si>
  <si>
    <t>Internationaal georiënteerd basisonderwijs (IGBO)</t>
  </si>
  <si>
    <t>Groeibekostiging (wordt berekend op bestuursniveau)</t>
  </si>
  <si>
    <r>
      <t xml:space="preserve">Aanvullende bekostiging </t>
    </r>
    <r>
      <rPr>
        <sz val="10"/>
        <color theme="1"/>
        <rFont val="Calibri"/>
        <family val="2"/>
        <scheme val="minor"/>
      </rPr>
      <t>(zie werkblad 'aanv-bas')</t>
    </r>
  </si>
  <si>
    <t>Samenvoegingscompensatie</t>
  </si>
  <si>
    <t xml:space="preserve">Bekostiging basisschool totaal </t>
  </si>
  <si>
    <t>Overgangsbekostiging</t>
  </si>
  <si>
    <t>Overgangspercentage</t>
  </si>
  <si>
    <t>herverdeeleffect</t>
  </si>
  <si>
    <t>maximaal negatief herverdeeleffect in %</t>
  </si>
  <si>
    <t>maximaal negatief herverdeeleffect in €</t>
  </si>
  <si>
    <t>M- aanpassing overgangsbekostiging</t>
  </si>
  <si>
    <t>maximaal positief herverdeeleffect in %</t>
  </si>
  <si>
    <t>maximaal positief herverdeeleffect in €</t>
  </si>
  <si>
    <t>M+ aanpassing overgangsbekostiging</t>
  </si>
  <si>
    <t>Maximeringsregel (indien herverdeeleffect &lt; of &gt; 1%-punt per jaar)</t>
  </si>
  <si>
    <t>Bekostiging totaal (na correctie overgangsregeling)</t>
  </si>
  <si>
    <t>Groeibekostiging BAS  (op bestuursniveau)</t>
  </si>
  <si>
    <t>Drempel groei per bestuur (4%)</t>
  </si>
  <si>
    <t xml:space="preserve">Aantal ingeschreven lln basisonderwijs binnen het totale schoolbestuur </t>
  </si>
  <si>
    <t>per 1 januari</t>
  </si>
  <si>
    <t>per 1 februari</t>
  </si>
  <si>
    <t>per 1 maart</t>
  </si>
  <si>
    <t>per 1 april</t>
  </si>
  <si>
    <t>per 1 mei</t>
  </si>
  <si>
    <t>per 1 juni</t>
  </si>
  <si>
    <t>per 1 juli</t>
  </si>
  <si>
    <t>per 1 augustus</t>
  </si>
  <si>
    <t>per 1 septmber</t>
  </si>
  <si>
    <t>per 1 oktober</t>
  </si>
  <si>
    <t>per 1 november</t>
  </si>
  <si>
    <t>per 1 december</t>
  </si>
  <si>
    <t>Groeibekostiging bestuur totaal 2023</t>
  </si>
  <si>
    <t>AANVULLENDE BEKOSTIGING BASISSCHOLEN</t>
  </si>
  <si>
    <t>I. Eerste opvang asielzoekers en overige vreemdelingen basisscholen</t>
  </si>
  <si>
    <t>drempel bekostiging (aantal asielszoekers én overige vreemdelingen)</t>
  </si>
  <si>
    <t>Rekenregel 1 januari (voor maanden januari t/m maart)</t>
  </si>
  <si>
    <t>aantal AZK op teldatum 1 januari t</t>
  </si>
  <si>
    <t>aantal overige vreemdelingen op teldatum 1 januari t</t>
  </si>
  <si>
    <t>Rekenregel 1 april (voor maanden april t/m juni)</t>
  </si>
  <si>
    <t>aantal AZK op teldatum 1 april t</t>
  </si>
  <si>
    <t>aantal overige vreemdelingen op teldatum 1 april t</t>
  </si>
  <si>
    <t>Rekenregel 1 juli (voor maanden juli t/m sept)</t>
  </si>
  <si>
    <t>aantal AZK op teldatum 1 juli t</t>
  </si>
  <si>
    <t>aantal overige vreemdelingen op teldatum 1 juli t</t>
  </si>
  <si>
    <t>Rekenregel op teldatum 1 oktober (voor maanden okt t/m dec)</t>
  </si>
  <si>
    <t>aantal AZK op teldatum 1 oktober t</t>
  </si>
  <si>
    <t>aantal overige vreemdelingen op teldatum 1 oktober t</t>
  </si>
  <si>
    <t>Eerste keer dat school deze aanvullende bekostiging aanvraagt?</t>
  </si>
  <si>
    <t>ja</t>
  </si>
  <si>
    <t xml:space="preserve">totaal </t>
  </si>
  <si>
    <t>II. Onderwijs aan asielzoekers gedurende tweede jaar in NL op basisscholen</t>
  </si>
  <si>
    <t>Aantal tweedejaars asielzoekers per 1 januari</t>
  </si>
  <si>
    <t>Aantal tweedejaars asielzoekers per 1 april</t>
  </si>
  <si>
    <t>Aantal tweedejaars asielzoekers per 1 juli</t>
  </si>
  <si>
    <t>Aantal tweedejaars asielzoekers per 1 oktober</t>
  </si>
  <si>
    <t>III. Opvang asielzoekerskinderen in POL/GLO</t>
  </si>
  <si>
    <t>Aantal azk in POL/GLO per 1 feb t-1</t>
  </si>
  <si>
    <t>IV. Schipperskinderen (in eerste 4 verblijfsjaren op deze basisschool)</t>
  </si>
  <si>
    <t xml:space="preserve">drempel </t>
  </si>
  <si>
    <t>Aanvraag voor deze aanvullende bekostiging ingediend in:</t>
  </si>
  <si>
    <t>januari</t>
  </si>
  <si>
    <t>februari</t>
  </si>
  <si>
    <t xml:space="preserve">maart </t>
  </si>
  <si>
    <t xml:space="preserve">april </t>
  </si>
  <si>
    <t xml:space="preserve">mei </t>
  </si>
  <si>
    <t>juni</t>
  </si>
  <si>
    <t>juli</t>
  </si>
  <si>
    <t>augustus</t>
  </si>
  <si>
    <t>september</t>
  </si>
  <si>
    <t>oktober</t>
  </si>
  <si>
    <t xml:space="preserve">november </t>
  </si>
  <si>
    <t>V. Leerlingen met een culturele achtergrond van de Roma en Sinti</t>
  </si>
  <si>
    <t>drempel</t>
  </si>
  <si>
    <t>VI. Leerlingen uit een 'Blijf van mijn lijf huis'</t>
  </si>
  <si>
    <t>AANVULLENDE BEKOSTIGING SPECIALE BASISSCHOLEN</t>
  </si>
  <si>
    <t>I. Eerste opvang vreemdelingen op speciale scholen voor basisonderwijs</t>
  </si>
  <si>
    <t>Aantal vreemdelingen per 1 januari</t>
  </si>
  <si>
    <t>Aantal vreemdelingen per 1 april</t>
  </si>
  <si>
    <t>Aantal vreemdelingen per 1 juli</t>
  </si>
  <si>
    <t>Aantal vreemdelingen per 1 oktober</t>
  </si>
  <si>
    <t>TABELLEN</t>
  </si>
  <si>
    <t>publicatiedatum regeling</t>
  </si>
  <si>
    <t>teldatum</t>
  </si>
  <si>
    <t>BAS</t>
  </si>
  <si>
    <t>bedrag per leerling</t>
  </si>
  <si>
    <t>bedrag per school (tot en met 99 leerlingen)</t>
  </si>
  <si>
    <t>bedrag per school (100 lln en meer)</t>
  </si>
  <si>
    <t>kleine scholen toeslag startbedrag</t>
  </si>
  <si>
    <t>kleine scholen verminderingsbedrag</t>
  </si>
  <si>
    <t>zeer kleine scholen toeslag startbedrag</t>
  </si>
  <si>
    <t>bedrag per nevenvestiging</t>
  </si>
  <si>
    <t>bedrag per eenheid achterstandsscore</t>
  </si>
  <si>
    <t>vast bedrag NOAT</t>
  </si>
  <si>
    <t>bedrag per NOAT-leerling</t>
  </si>
  <si>
    <t>vast bedrag per IGBO-afdeling</t>
  </si>
  <si>
    <t>bedrag per IGBO-leerling</t>
  </si>
  <si>
    <t>bedrag per leerling groei</t>
  </si>
  <si>
    <t>bedrag azk (hoog)</t>
  </si>
  <si>
    <t>bedrag azk en ov (laag)</t>
  </si>
  <si>
    <t>eenmalig bedrag voor eerste aanvraag azk</t>
  </si>
  <si>
    <t>tweedejaars asielzoekers</t>
  </si>
  <si>
    <t>opvang asielzoekerskinderen in POL/GLO</t>
  </si>
  <si>
    <t>bedrag per schipperskind</t>
  </si>
  <si>
    <t>bedrag per leerling Roma / Sinti</t>
  </si>
  <si>
    <t>bedrag per leerling uit BVMLH</t>
  </si>
  <si>
    <t>SBO</t>
  </si>
  <si>
    <t>basisbedrag per leerling</t>
  </si>
  <si>
    <t>vast bedrag per nevenvestiging</t>
  </si>
  <si>
    <t>bedrag per CUMI- leerling</t>
  </si>
  <si>
    <t>ondersteuningsbedrag per leerling SBO</t>
  </si>
  <si>
    <t>bedrag per nieuwkomer</t>
  </si>
  <si>
    <t>(V)SO</t>
  </si>
  <si>
    <t>basisbedrag per leerling SO</t>
  </si>
  <si>
    <t>basisbedrag per leerling (V)SO</t>
  </si>
  <si>
    <t>bedrag per SO school (tot en met 49 leerlingen)</t>
  </si>
  <si>
    <t>bedrag per SO school (50 lln en meer)</t>
  </si>
  <si>
    <t>bedrag per VSO school (tot en met 49 leerlingen)</t>
  </si>
  <si>
    <t>bedrag per VSO school (50 lln en meer)</t>
  </si>
  <si>
    <t>bedrag per brancardlift</t>
  </si>
  <si>
    <t>bedrag per hydrotherapiebad</t>
  </si>
  <si>
    <t>bedrag per m3 hydrotherapiebad</t>
  </si>
  <si>
    <t>bedrag per watergewenningsbad</t>
  </si>
  <si>
    <t>bedrag per m3 watergewenningsbad</t>
  </si>
  <si>
    <t>bedrag per beweegbare bodem</t>
  </si>
  <si>
    <t>bedrag per m3 beweegbare bodem</t>
  </si>
  <si>
    <t>bedrag per vestiging GJI/JJI</t>
  </si>
  <si>
    <t>bedrag per onbezette capaciteitsplek</t>
  </si>
  <si>
    <t>SWV</t>
  </si>
  <si>
    <t>bedrag zware ondersteuning per leerling BAS en SBO</t>
  </si>
  <si>
    <t>schoolmaatschappelijk werk</t>
  </si>
  <si>
    <t>bedrag zware ondersteuning per leerling VO</t>
  </si>
  <si>
    <t>Overgangsperiode</t>
  </si>
  <si>
    <t xml:space="preserve">overgangspercentage </t>
  </si>
  <si>
    <t>maximaal negatief herverdeeleffect</t>
  </si>
  <si>
    <t>maximaal positief herverdeeleffect</t>
  </si>
  <si>
    <t>bedrag lichte ondersteuning  per leerling BAS</t>
  </si>
  <si>
    <t>ondersteuningsbedrag per leerling SO cat. 1</t>
  </si>
  <si>
    <t>ondersteuningsbedrag per leerling SO cat. 2</t>
  </si>
  <si>
    <t>ondersteuningsbedrag per leerling SO cat. 3</t>
  </si>
  <si>
    <t>bedrag regionale ondersteuning  per leerling VO</t>
  </si>
  <si>
    <t>bedrag ondersteuning LWOO/PRO</t>
  </si>
  <si>
    <t>ondersteuningsbedrag per leerling VSO cat. 1</t>
  </si>
  <si>
    <t>ondersteuningsbedrag per leerling VSO cat. 2</t>
  </si>
  <si>
    <t>ondersteuningsbedrag per leerling VSO cat. 3</t>
  </si>
  <si>
    <t>PBSS</t>
  </si>
  <si>
    <t>Onderstaande uitleg beschrijft het principe - de bedragen in de tekst zijn verouderd.</t>
  </si>
  <si>
    <t>Achterstandsscore (totaal)</t>
  </si>
  <si>
    <t>Aantal leerlingen BAS binnen bestuur per teldatum 1 feb. t-1</t>
  </si>
  <si>
    <t>Toeslag nevenvestiging (incl. evt. KST)</t>
  </si>
  <si>
    <t>Nederlands onderwijs aan anderstaligen (NOAT)</t>
  </si>
  <si>
    <t>Prof. begeleiding starters en schoolleiders</t>
  </si>
  <si>
    <t>voorlopig / 
1e regeling</t>
  </si>
  <si>
    <t>definitief / 
2e regeling</t>
  </si>
  <si>
    <r>
      <t xml:space="preserve">Reguliere bekostiging oude stijl (teldatum </t>
    </r>
    <r>
      <rPr>
        <b/>
        <sz val="10"/>
        <color theme="1"/>
        <rFont val="Calibri"/>
        <family val="2"/>
        <scheme val="minor"/>
      </rPr>
      <t>1-10-2021</t>
    </r>
    <r>
      <rPr>
        <sz val="10"/>
        <color theme="1"/>
        <rFont val="Calibri"/>
        <family val="2"/>
        <scheme val="minor"/>
      </rPr>
      <t>)</t>
    </r>
  </si>
  <si>
    <r>
      <t xml:space="preserve">Reguliere bekostiging nieuwe stijl (teldatum </t>
    </r>
    <r>
      <rPr>
        <b/>
        <sz val="10"/>
        <color theme="1"/>
        <rFont val="Calibri"/>
        <family val="2"/>
        <scheme val="minor"/>
      </rPr>
      <t>1-10-2021</t>
    </r>
    <r>
      <rPr>
        <sz val="10"/>
        <color theme="1"/>
        <rFont val="Calibri"/>
        <family val="2"/>
        <scheme val="minor"/>
      </rPr>
      <t>)</t>
    </r>
  </si>
  <si>
    <r>
      <t xml:space="preserve">Reguliere bekostiging nieuwe stijl (teldatum </t>
    </r>
    <r>
      <rPr>
        <b/>
        <sz val="10"/>
        <color theme="1"/>
        <rFont val="Calibri"/>
        <family val="2"/>
        <scheme val="minor"/>
      </rPr>
      <t>1-2-2022</t>
    </r>
    <r>
      <rPr>
        <sz val="10"/>
        <color theme="1"/>
        <rFont val="Calibri"/>
        <family val="2"/>
        <scheme val="minor"/>
      </rPr>
      <t>)</t>
    </r>
  </si>
  <si>
    <r>
      <t xml:space="preserve">Aantal leerlingen per teldatum </t>
    </r>
    <r>
      <rPr>
        <b/>
        <sz val="10"/>
        <color theme="1"/>
        <rFont val="Calibri"/>
        <family val="2"/>
        <scheme val="minor"/>
      </rPr>
      <t>1-2-2022</t>
    </r>
  </si>
  <si>
    <r>
      <t xml:space="preserve">Reguliere bekostiging nieuwe stijl </t>
    </r>
    <r>
      <rPr>
        <b/>
        <sz val="10"/>
        <rFont val="Calibri"/>
        <family val="2"/>
        <scheme val="minor"/>
      </rPr>
      <t>(teldatum 1-2 t-1)</t>
    </r>
  </si>
  <si>
    <r>
      <t xml:space="preserve">Aantal leerlingen per teldatum </t>
    </r>
    <r>
      <rPr>
        <b/>
        <sz val="10"/>
        <rFont val="Calibri"/>
        <family val="2"/>
        <scheme val="minor"/>
      </rPr>
      <t>1-2 t-1</t>
    </r>
  </si>
  <si>
    <r>
      <t xml:space="preserve">Reguliere bekostiging </t>
    </r>
    <r>
      <rPr>
        <b/>
        <i/>
        <sz val="10"/>
        <rFont val="Calibri"/>
        <family val="2"/>
        <scheme val="minor"/>
      </rPr>
      <t>nieuwe stijl</t>
    </r>
    <r>
      <rPr>
        <sz val="10"/>
        <rFont val="Calibri"/>
        <family val="2"/>
        <scheme val="minor"/>
      </rPr>
      <t xml:space="preserve"> per leerling (teldatum </t>
    </r>
    <r>
      <rPr>
        <b/>
        <sz val="10"/>
        <rFont val="Calibri"/>
        <family val="2"/>
        <scheme val="minor"/>
      </rPr>
      <t>1-2 t-1</t>
    </r>
    <r>
      <rPr>
        <sz val="10"/>
        <rFont val="Calibri"/>
        <family val="2"/>
        <scheme val="minor"/>
      </rPr>
      <t>)</t>
    </r>
  </si>
  <si>
    <r>
      <t>Reguliere bekostiging</t>
    </r>
    <r>
      <rPr>
        <b/>
        <i/>
        <sz val="10"/>
        <rFont val="Calibri"/>
        <family val="2"/>
        <scheme val="minor"/>
      </rPr>
      <t xml:space="preserve"> oude stijl</t>
    </r>
    <r>
      <rPr>
        <sz val="10"/>
        <rFont val="Calibri"/>
        <family val="2"/>
        <scheme val="minor"/>
      </rPr>
      <t xml:space="preserve"> per leerling (teldatum </t>
    </r>
    <r>
      <rPr>
        <b/>
        <sz val="10"/>
        <rFont val="Calibri"/>
        <family val="2"/>
        <scheme val="minor"/>
      </rPr>
      <t>1-2-2022</t>
    </r>
    <r>
      <rPr>
        <sz val="10"/>
        <rFont val="Calibri"/>
        <family val="2"/>
        <scheme val="minor"/>
      </rPr>
      <t>)</t>
    </r>
  </si>
  <si>
    <t>Bekostiging oude stijl -/- nieuwe stijl (totaal) - ( A - B ) x T =</t>
  </si>
  <si>
    <t>Overgangsbekostiging na overgangspercentage -  ( A - B ) x C x T =</t>
  </si>
  <si>
    <t>Overgangsbekostiging na maximeringsregeling</t>
  </si>
  <si>
    <t>Achterstandsscore (totaal) DEF teldatum 1-2-2022</t>
  </si>
  <si>
    <t>Aantal leerlingen (totaal) DEF teldatum 1-2-2022</t>
  </si>
  <si>
    <t>indexatie overgangsregeling</t>
  </si>
  <si>
    <t>B</t>
  </si>
  <si>
    <t>A</t>
  </si>
  <si>
    <t>C</t>
  </si>
  <si>
    <t>Let op: voer de definitieve telling 1 februari 2022 in, in het werkblad "basisscholen 2023 overgangsreg." voor een juiste berekening van de overgangsregeling 2024</t>
  </si>
  <si>
    <r>
      <t>Bekostiging oude stijl -/- nieuwe stijl (totaal) -</t>
    </r>
    <r>
      <rPr>
        <b/>
        <sz val="10"/>
        <color rgb="FF00B050"/>
        <rFont val="Calibri"/>
        <family val="2"/>
        <scheme val="minor"/>
      </rPr>
      <t xml:space="preserve"> ( A - B ) x T =</t>
    </r>
  </si>
  <si>
    <r>
      <t xml:space="preserve">Overgangsbekostiging na overgangspercentage -  </t>
    </r>
    <r>
      <rPr>
        <b/>
        <sz val="10"/>
        <color rgb="FF00B050"/>
        <rFont val="Calibri"/>
        <family val="2"/>
        <scheme val="minor"/>
      </rPr>
      <t>( A - B ) x C x T =</t>
    </r>
  </si>
  <si>
    <t>nee</t>
  </si>
  <si>
    <t>ww voor ieder werkblad in dit bestand: poraad</t>
  </si>
  <si>
    <t>Invullen!</t>
  </si>
  <si>
    <t>bedrag per capaciteitsplek JJI</t>
  </si>
  <si>
    <t>bedrag per capaciteitsplek GJI</t>
  </si>
  <si>
    <t>indicatie</t>
  </si>
  <si>
    <t>aantal AZK op teldatum 1 feb t-1</t>
  </si>
  <si>
    <t>At</t>
  </si>
  <si>
    <t>aantal overige vreemdelingen op teldatum 1 feb t-1</t>
  </si>
  <si>
    <t>Ap</t>
  </si>
  <si>
    <t>Vp</t>
  </si>
  <si>
    <t>aanvullende bekostiging als Ap groter is dan of gelijk is aan At</t>
  </si>
  <si>
    <t>aanvullende bekostiging als Ap niet groter is dan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</si>
</sst>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quot;€&quot;\ * #,##0.00_ ;_ &quot;€&quot;\ * \-#,##0.00_ ;_ &quot;€&quot;\ * &quot;-&quot;??_ ;_ @_ "/>
    <numFmt numFmtId="43" formatCode="_ * #,##0.00_ ;_ * \-#,##0.00_ ;_ * &quot;-&quot;??_ ;_ @_ "/>
    <numFmt numFmtId="164" formatCode="_-&quot;€&quot;\ * #,##0.00_-;_-&quot;€&quot;\ * #,##0.00\-;_-&quot;€&quot;\ * &quot;-&quot;??_-;_-@_-"/>
    <numFmt numFmtId="165" formatCode="[$-413]d/mmm/yy;@"/>
    <numFmt numFmtId="166" formatCode="_ &quot;€&quot;\ * #,##0_ ;_ &quot;€&quot;\ * \-#,##0_ ;_ &quot;€&quot;\ * &quot;-&quot;??_ ;_ @_ "/>
    <numFmt numFmtId="167" formatCode="0.0000%"/>
  </numFmts>
  <fonts count="41" x14ac:knownFonts="1">
    <font>
      <sz val="11"/>
      <color theme="1"/>
      <name val="Calibri"/>
      <family val="2"/>
      <scheme val="minor"/>
    </font>
    <font>
      <sz val="11"/>
      <color theme="1"/>
      <name val="Calibri"/>
      <family val="2"/>
      <scheme val="minor"/>
    </font>
    <font>
      <sz val="10"/>
      <name val="Calibri"/>
      <family val="2"/>
    </font>
    <font>
      <sz val="10"/>
      <color theme="1"/>
      <name val="Calibri"/>
      <family val="2"/>
      <scheme val="minor"/>
    </font>
    <font>
      <b/>
      <sz val="10"/>
      <color theme="1"/>
      <name val="Calibri"/>
      <family val="2"/>
      <scheme val="minor"/>
    </font>
    <font>
      <sz val="10"/>
      <color rgb="FFFF0000"/>
      <name val="Calibri"/>
      <family val="2"/>
      <scheme val="minor"/>
    </font>
    <font>
      <sz val="9"/>
      <color indexed="81"/>
      <name val="Tahoma"/>
      <family val="2"/>
    </font>
    <font>
      <i/>
      <sz val="10"/>
      <color theme="1"/>
      <name val="Calibri"/>
      <family val="2"/>
      <scheme val="minor"/>
    </font>
    <font>
      <b/>
      <i/>
      <sz val="10"/>
      <color theme="1"/>
      <name val="Calibri"/>
      <family val="2"/>
      <scheme val="minor"/>
    </font>
    <font>
      <sz val="10"/>
      <color rgb="FFC00000"/>
      <name val="Calibri"/>
      <family val="2"/>
      <scheme val="minor"/>
    </font>
    <font>
      <sz val="12"/>
      <color rgb="FFC00000"/>
      <name val="Calibri"/>
      <family val="2"/>
      <scheme val="minor"/>
    </font>
    <font>
      <i/>
      <sz val="10"/>
      <color theme="1" tint="0.249977111117893"/>
      <name val="Calibri"/>
      <family val="2"/>
      <scheme val="minor"/>
    </font>
    <font>
      <i/>
      <sz val="10"/>
      <color theme="1" tint="0.499984740745262"/>
      <name val="Calibri"/>
      <family val="2"/>
      <scheme val="minor"/>
    </font>
    <font>
      <sz val="10"/>
      <name val="Calibri"/>
      <family val="2"/>
      <scheme val="minor"/>
    </font>
    <font>
      <b/>
      <i/>
      <sz val="10"/>
      <color theme="1" tint="0.499984740745262"/>
      <name val="Calibri"/>
      <family val="2"/>
      <scheme val="minor"/>
    </font>
    <font>
      <i/>
      <sz val="10"/>
      <color rgb="FF002060"/>
      <name val="Calibri"/>
      <family val="2"/>
      <scheme val="minor"/>
    </font>
    <font>
      <sz val="10"/>
      <color rgb="FF002060"/>
      <name val="Calibri"/>
      <family val="2"/>
      <scheme val="minor"/>
    </font>
    <font>
      <u/>
      <sz val="11"/>
      <color theme="10"/>
      <name val="Calibri"/>
      <family val="2"/>
      <scheme val="minor"/>
    </font>
    <font>
      <u/>
      <sz val="10"/>
      <color theme="10"/>
      <name val="Calibri"/>
      <family val="2"/>
      <scheme val="minor"/>
    </font>
    <font>
      <i/>
      <sz val="11"/>
      <color theme="1"/>
      <name val="Calibri"/>
      <family val="2"/>
      <scheme val="minor"/>
    </font>
    <font>
      <sz val="8.5"/>
      <color theme="1"/>
      <name val="Verdana"/>
      <family val="2"/>
    </font>
    <font>
      <b/>
      <i/>
      <sz val="10"/>
      <name val="Calibri"/>
      <family val="2"/>
      <scheme val="minor"/>
    </font>
    <font>
      <b/>
      <sz val="11"/>
      <color rgb="FFFF0000"/>
      <name val="Calibri"/>
      <family val="2"/>
      <scheme val="minor"/>
    </font>
    <font>
      <b/>
      <i/>
      <u/>
      <sz val="11"/>
      <color rgb="FFC00000"/>
      <name val="Calibri"/>
      <family val="2"/>
      <scheme val="minor"/>
    </font>
    <font>
      <b/>
      <sz val="10"/>
      <color rgb="FFFF0000"/>
      <name val="Calibri"/>
      <family val="2"/>
      <scheme val="minor"/>
    </font>
    <font>
      <b/>
      <i/>
      <sz val="10"/>
      <color rgb="FF002060"/>
      <name val="Calibri"/>
      <family val="2"/>
      <scheme val="minor"/>
    </font>
    <font>
      <b/>
      <u/>
      <sz val="10"/>
      <color theme="10"/>
      <name val="Calibri"/>
      <family val="2"/>
      <scheme val="minor"/>
    </font>
    <font>
      <b/>
      <sz val="10"/>
      <color rgb="FF002060"/>
      <name val="Calibri"/>
      <family val="2"/>
      <scheme val="minor"/>
    </font>
    <font>
      <sz val="12"/>
      <color theme="1"/>
      <name val="Calibri"/>
      <family val="2"/>
      <scheme val="minor"/>
    </font>
    <font>
      <i/>
      <sz val="10"/>
      <color theme="1" tint="0.14999847407452621"/>
      <name val="Calibri"/>
      <family val="2"/>
      <scheme val="minor"/>
    </font>
    <font>
      <sz val="10"/>
      <color theme="1" tint="0.249977111117893"/>
      <name val="Calibri"/>
      <family val="2"/>
      <scheme val="minor"/>
    </font>
    <font>
      <i/>
      <sz val="10"/>
      <color rgb="FFC00000"/>
      <name val="Calibri"/>
      <family val="2"/>
      <scheme val="minor"/>
    </font>
    <font>
      <i/>
      <u/>
      <sz val="10"/>
      <color theme="10"/>
      <name val="Calibri"/>
      <family val="2"/>
      <scheme val="minor"/>
    </font>
    <font>
      <i/>
      <sz val="10"/>
      <name val="Calibri"/>
      <family val="2"/>
      <scheme val="minor"/>
    </font>
    <font>
      <b/>
      <sz val="10"/>
      <name val="Calibri"/>
      <family val="2"/>
      <scheme val="minor"/>
    </font>
    <font>
      <sz val="10"/>
      <color theme="1" tint="0.499984740745262"/>
      <name val="Calibri"/>
      <family val="2"/>
      <scheme val="minor"/>
    </font>
    <font>
      <b/>
      <sz val="10"/>
      <color rgb="FFC00000"/>
      <name val="Calibri"/>
      <family val="2"/>
      <scheme val="minor"/>
    </font>
    <font>
      <b/>
      <sz val="10"/>
      <color rgb="FF00B050"/>
      <name val="Calibri"/>
      <family val="2"/>
      <scheme val="minor"/>
    </font>
    <font>
      <b/>
      <u/>
      <sz val="11"/>
      <color rgb="FFFF0000"/>
      <name val="Calibri"/>
      <family val="2"/>
      <scheme val="minor"/>
    </font>
    <font>
      <sz val="10"/>
      <color theme="0"/>
      <name val="Calibri"/>
      <family val="2"/>
      <scheme val="minor"/>
    </font>
    <font>
      <b/>
      <sz val="10"/>
      <color theme="0"/>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s>
  <borders count="25">
    <border>
      <left/>
      <right/>
      <top/>
      <bottom/>
      <diagonal/>
    </border>
    <border>
      <left style="thin">
        <color rgb="FFFFFFFF"/>
      </left>
      <right style="thin">
        <color rgb="FFFFFFFF"/>
      </right>
      <top style="thin">
        <color rgb="FFFFFFFF"/>
      </top>
      <bottom style="thin">
        <color rgb="FFFFFFFF"/>
      </bottom>
      <diagonal/>
    </border>
    <border>
      <left style="thin">
        <color theme="0"/>
      </left>
      <right style="thin">
        <color theme="0"/>
      </right>
      <top style="thin">
        <color theme="0"/>
      </top>
      <bottom style="thin">
        <color theme="0"/>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0"/>
      </left>
      <right style="thin">
        <color theme="0"/>
      </right>
      <top style="thin">
        <color theme="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op>
      <bottom style="thin">
        <color theme="0"/>
      </bottom>
      <diagonal/>
    </border>
    <border>
      <left style="thin">
        <color rgb="FFFFFFFF"/>
      </left>
      <right style="thin">
        <color rgb="FFFFFFFF"/>
      </right>
      <top/>
      <bottom style="thin">
        <color rgb="FFFFFFFF"/>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xf numFmtId="0" fontId="20" fillId="0" borderId="0"/>
  </cellStyleXfs>
  <cellXfs count="233">
    <xf numFmtId="0" fontId="0" fillId="0" borderId="0" xfId="0"/>
    <xf numFmtId="0" fontId="3" fillId="0" borderId="0" xfId="0" applyFont="1"/>
    <xf numFmtId="44" fontId="3" fillId="0" borderId="0" xfId="0" applyNumberFormat="1" applyFont="1"/>
    <xf numFmtId="0" fontId="4" fillId="0" borderId="0" xfId="0" applyFont="1"/>
    <xf numFmtId="0" fontId="3" fillId="0" borderId="0" xfId="0" applyFont="1" applyAlignment="1">
      <alignment horizontal="center"/>
    </xf>
    <xf numFmtId="0" fontId="4" fillId="0" borderId="0" xfId="0" applyFont="1" applyAlignment="1">
      <alignment horizontal="center"/>
    </xf>
    <xf numFmtId="164" fontId="2" fillId="0" borderId="0" xfId="0" applyNumberFormat="1" applyFont="1" applyAlignment="1">
      <alignment horizontal="left"/>
    </xf>
    <xf numFmtId="0" fontId="5" fillId="0" borderId="0" xfId="0" applyFont="1"/>
    <xf numFmtId="0" fontId="10" fillId="0" borderId="0" xfId="0" applyFont="1"/>
    <xf numFmtId="14" fontId="7" fillId="0" borderId="0" xfId="0" applyNumberFormat="1" applyFont="1" applyAlignment="1">
      <alignment horizontal="center"/>
    </xf>
    <xf numFmtId="0" fontId="7" fillId="0" borderId="0" xfId="0" applyFont="1" applyAlignment="1">
      <alignment horizontal="right"/>
    </xf>
    <xf numFmtId="0" fontId="3" fillId="0" borderId="5" xfId="0" applyFont="1" applyBorder="1"/>
    <xf numFmtId="0" fontId="3" fillId="0" borderId="7" xfId="0" applyFont="1" applyBorder="1"/>
    <xf numFmtId="0" fontId="3" fillId="0" borderId="10" xfId="0" applyFont="1" applyBorder="1"/>
    <xf numFmtId="44" fontId="3" fillId="0" borderId="0" xfId="1" applyFont="1" applyFill="1" applyBorder="1" applyProtection="1"/>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xf numFmtId="0" fontId="3" fillId="0" borderId="16" xfId="0" applyFont="1" applyBorder="1"/>
    <xf numFmtId="0" fontId="3" fillId="0" borderId="17" xfId="0" applyFont="1" applyBorder="1"/>
    <xf numFmtId="0" fontId="3" fillId="0" borderId="18" xfId="0" applyFont="1" applyBorder="1"/>
    <xf numFmtId="0" fontId="3" fillId="0" borderId="19" xfId="0" applyFont="1" applyBorder="1"/>
    <xf numFmtId="0" fontId="14" fillId="0" borderId="0" xfId="0" applyFont="1"/>
    <xf numFmtId="0" fontId="12" fillId="0" borderId="0" xfId="0" applyFont="1" applyAlignment="1">
      <alignment horizontal="center"/>
    </xf>
    <xf numFmtId="0" fontId="5" fillId="0" borderId="0" xfId="0" quotePrefix="1" applyFont="1"/>
    <xf numFmtId="0" fontId="16" fillId="0" borderId="7" xfId="0" applyFont="1" applyBorder="1"/>
    <xf numFmtId="0" fontId="16" fillId="0" borderId="0" xfId="0" applyFont="1"/>
    <xf numFmtId="0" fontId="9" fillId="0" borderId="0" xfId="0" applyFont="1"/>
    <xf numFmtId="44" fontId="9" fillId="0" borderId="0" xfId="0" applyNumberFormat="1" applyFont="1"/>
    <xf numFmtId="0" fontId="5" fillId="0" borderId="7" xfId="0" applyFont="1" applyBorder="1"/>
    <xf numFmtId="44" fontId="5" fillId="0" borderId="0" xfId="0" applyNumberFormat="1" applyFont="1"/>
    <xf numFmtId="43" fontId="3" fillId="0" borderId="0" xfId="4" applyFont="1" applyFill="1" applyBorder="1" applyProtection="1"/>
    <xf numFmtId="0" fontId="3" fillId="3" borderId="2" xfId="0" applyFont="1" applyFill="1" applyBorder="1" applyAlignment="1" applyProtection="1">
      <alignment horizontal="center"/>
      <protection locked="0"/>
    </xf>
    <xf numFmtId="165" fontId="7" fillId="3" borderId="2" xfId="0" applyNumberFormat="1" applyFont="1" applyFill="1" applyBorder="1" applyAlignment="1" applyProtection="1">
      <alignment horizontal="center"/>
      <protection locked="0"/>
    </xf>
    <xf numFmtId="0" fontId="18" fillId="0" borderId="0" xfId="5" applyFont="1" applyFill="1" applyBorder="1" applyProtection="1"/>
    <xf numFmtId="166" fontId="3" fillId="0" borderId="0" xfId="0" applyNumberFormat="1" applyFont="1"/>
    <xf numFmtId="166" fontId="4" fillId="0" borderId="0" xfId="0" applyNumberFormat="1" applyFont="1"/>
    <xf numFmtId="166" fontId="3" fillId="0" borderId="0" xfId="1" applyNumberFormat="1" applyFont="1" applyFill="1" applyBorder="1" applyProtection="1"/>
    <xf numFmtId="166" fontId="4" fillId="0" borderId="0" xfId="1" applyNumberFormat="1" applyFont="1" applyFill="1" applyBorder="1" applyProtection="1"/>
    <xf numFmtId="166" fontId="3" fillId="0" borderId="0" xfId="1" applyNumberFormat="1" applyFont="1" applyBorder="1"/>
    <xf numFmtId="0" fontId="19" fillId="0" borderId="0" xfId="0" applyFont="1"/>
    <xf numFmtId="0" fontId="3" fillId="3" borderId="11" xfId="0" applyFont="1" applyFill="1" applyBorder="1" applyAlignment="1" applyProtection="1">
      <alignment horizontal="center"/>
      <protection locked="0"/>
    </xf>
    <xf numFmtId="0" fontId="17" fillId="0" borderId="0" xfId="5"/>
    <xf numFmtId="0" fontId="0" fillId="0" borderId="0" xfId="0" applyAlignment="1">
      <alignment wrapText="1"/>
    </xf>
    <xf numFmtId="0" fontId="17" fillId="0" borderId="0" xfId="5" applyAlignment="1">
      <alignment wrapText="1"/>
    </xf>
    <xf numFmtId="44" fontId="3" fillId="3" borderId="0" xfId="1" applyFont="1" applyFill="1"/>
    <xf numFmtId="14" fontId="19" fillId="0" borderId="0" xfId="0" applyNumberFormat="1" applyFont="1"/>
    <xf numFmtId="0" fontId="26" fillId="0" borderId="0" xfId="5" applyFont="1" applyFill="1" applyBorder="1" applyAlignment="1" applyProtection="1">
      <alignment horizontal="left"/>
    </xf>
    <xf numFmtId="44" fontId="4" fillId="0" borderId="0" xfId="1" applyFont="1" applyFill="1" applyBorder="1" applyProtection="1"/>
    <xf numFmtId="0" fontId="4" fillId="0" borderId="0" xfId="1" applyNumberFormat="1" applyFont="1" applyFill="1" applyBorder="1" applyAlignment="1" applyProtection="1">
      <alignment horizontal="center"/>
    </xf>
    <xf numFmtId="166" fontId="4" fillId="0" borderId="0" xfId="1" applyNumberFormat="1" applyFont="1" applyFill="1" applyBorder="1" applyAlignment="1" applyProtection="1">
      <alignment horizontal="left"/>
    </xf>
    <xf numFmtId="9" fontId="4" fillId="0" borderId="0" xfId="2" applyFont="1" applyFill="1" applyBorder="1" applyAlignment="1" applyProtection="1">
      <alignment horizontal="center"/>
    </xf>
    <xf numFmtId="166" fontId="4" fillId="0" borderId="0" xfId="2" applyNumberFormat="1" applyFont="1" applyFill="1" applyBorder="1" applyAlignment="1" applyProtection="1">
      <alignment horizontal="center"/>
    </xf>
    <xf numFmtId="166" fontId="27" fillId="0" borderId="0" xfId="1" applyNumberFormat="1" applyFont="1" applyFill="1" applyBorder="1" applyProtection="1"/>
    <xf numFmtId="9" fontId="27" fillId="0" borderId="0" xfId="2" applyFont="1" applyFill="1" applyBorder="1" applyProtection="1"/>
    <xf numFmtId="166" fontId="25" fillId="0" borderId="0" xfId="1" applyNumberFormat="1" applyFont="1" applyFill="1" applyBorder="1" applyProtection="1"/>
    <xf numFmtId="43" fontId="4" fillId="0" borderId="0" xfId="4" applyFont="1" applyFill="1" applyBorder="1" applyProtection="1"/>
    <xf numFmtId="0" fontId="28" fillId="0" borderId="0" xfId="0" applyFont="1"/>
    <xf numFmtId="166" fontId="4" fillId="2" borderId="1" xfId="1" applyNumberFormat="1" applyFont="1" applyFill="1" applyBorder="1" applyProtection="1"/>
    <xf numFmtId="3" fontId="3" fillId="6" borderId="1" xfId="0" applyNumberFormat="1" applyFont="1" applyFill="1" applyBorder="1" applyAlignment="1" applyProtection="1">
      <alignment horizontal="center"/>
      <protection locked="0"/>
    </xf>
    <xf numFmtId="166" fontId="3" fillId="6" borderId="1" xfId="0" applyNumberFormat="1" applyFont="1" applyFill="1" applyBorder="1" applyAlignment="1" applyProtection="1">
      <alignment horizontal="center"/>
      <protection locked="0"/>
    </xf>
    <xf numFmtId="4" fontId="3" fillId="6" borderId="1" xfId="0" applyNumberFormat="1" applyFont="1" applyFill="1" applyBorder="1" applyAlignment="1" applyProtection="1">
      <alignment horizontal="center"/>
      <protection locked="0"/>
    </xf>
    <xf numFmtId="0" fontId="4" fillId="2" borderId="0" xfId="0" applyFont="1" applyFill="1" applyAlignment="1">
      <alignment horizontal="center" vertical="top"/>
    </xf>
    <xf numFmtId="164" fontId="13" fillId="3" borderId="2" xfId="0" applyNumberFormat="1" applyFont="1" applyFill="1" applyBorder="1" applyAlignment="1" applyProtection="1">
      <alignment horizontal="left" vertical="top"/>
      <protection locked="0"/>
    </xf>
    <xf numFmtId="164" fontId="13" fillId="0" borderId="2" xfId="0" applyNumberFormat="1" applyFont="1" applyBorder="1" applyAlignment="1" applyProtection="1">
      <alignment horizontal="left" vertical="top"/>
      <protection locked="0"/>
    </xf>
    <xf numFmtId="0" fontId="3" fillId="0" borderId="0" xfId="0" applyFont="1" applyAlignment="1">
      <alignment vertical="top"/>
    </xf>
    <xf numFmtId="164" fontId="13" fillId="0" borderId="0" xfId="0" applyNumberFormat="1" applyFont="1" applyAlignment="1" applyProtection="1">
      <alignment horizontal="left" vertical="top"/>
      <protection locked="0"/>
    </xf>
    <xf numFmtId="164" fontId="13" fillId="8" borderId="11" xfId="0" applyNumberFormat="1" applyFont="1" applyFill="1" applyBorder="1" applyAlignment="1" applyProtection="1">
      <alignment horizontal="left" vertical="top"/>
      <protection locked="0"/>
    </xf>
    <xf numFmtId="0" fontId="13" fillId="0" borderId="0" xfId="5" applyFont="1" applyFill="1" applyBorder="1" applyProtection="1"/>
    <xf numFmtId="0" fontId="3" fillId="3" borderId="21" xfId="0" applyFont="1" applyFill="1" applyBorder="1" applyAlignment="1" applyProtection="1">
      <alignment horizontal="center"/>
      <protection locked="0"/>
    </xf>
    <xf numFmtId="0" fontId="3" fillId="3" borderId="1" xfId="0" applyFont="1" applyFill="1" applyBorder="1" applyAlignment="1" applyProtection="1">
      <alignment horizontal="center"/>
      <protection locked="0"/>
    </xf>
    <xf numFmtId="0" fontId="31" fillId="0" borderId="0" xfId="0" applyFont="1" applyAlignment="1">
      <alignment horizontal="center" vertical="top" wrapText="1"/>
    </xf>
    <xf numFmtId="165" fontId="32" fillId="3" borderId="2" xfId="5" applyNumberFormat="1" applyFont="1" applyFill="1" applyBorder="1" applyAlignment="1" applyProtection="1">
      <alignment horizontal="center" vertical="top"/>
      <protection locked="0"/>
    </xf>
    <xf numFmtId="165" fontId="33" fillId="3" borderId="2" xfId="5" applyNumberFormat="1" applyFont="1" applyFill="1" applyBorder="1" applyAlignment="1" applyProtection="1">
      <alignment horizontal="center" vertical="top"/>
      <protection locked="0"/>
    </xf>
    <xf numFmtId="14" fontId="7" fillId="0" borderId="0" xfId="0" applyNumberFormat="1" applyFont="1" applyAlignment="1">
      <alignment horizontal="center" vertical="top"/>
    </xf>
    <xf numFmtId="164" fontId="13" fillId="3" borderId="11" xfId="0" applyNumberFormat="1" applyFont="1" applyFill="1" applyBorder="1" applyAlignment="1" applyProtection="1">
      <alignment horizontal="left" vertical="top"/>
      <protection locked="0"/>
    </xf>
    <xf numFmtId="44" fontId="3" fillId="5" borderId="11" xfId="1" applyFont="1" applyFill="1" applyBorder="1" applyAlignment="1" applyProtection="1">
      <alignment vertical="top"/>
      <protection locked="0"/>
    </xf>
    <xf numFmtId="9" fontId="3" fillId="0" borderId="0" xfId="2" applyFont="1" applyAlignment="1">
      <alignment horizontal="center" vertical="top"/>
    </xf>
    <xf numFmtId="9" fontId="13" fillId="0" borderId="0" xfId="2" applyFont="1" applyAlignment="1">
      <alignment horizontal="center" vertical="top"/>
    </xf>
    <xf numFmtId="44" fontId="13" fillId="0" borderId="0" xfId="1" applyFont="1" applyFill="1" applyBorder="1" applyAlignment="1" applyProtection="1">
      <alignment horizontal="center"/>
    </xf>
    <xf numFmtId="3" fontId="13" fillId="0" borderId="0" xfId="1" applyNumberFormat="1" applyFont="1" applyFill="1" applyBorder="1" applyAlignment="1" applyProtection="1">
      <alignment horizontal="center"/>
    </xf>
    <xf numFmtId="9" fontId="13" fillId="0" borderId="0" xfId="2" applyFont="1" applyAlignment="1" applyProtection="1">
      <alignment horizontal="center"/>
    </xf>
    <xf numFmtId="166" fontId="13" fillId="0" borderId="0" xfId="1" applyNumberFormat="1" applyFont="1" applyProtection="1"/>
    <xf numFmtId="166" fontId="13" fillId="0" borderId="0" xfId="1" applyNumberFormat="1" applyFont="1" applyFill="1" applyBorder="1" applyAlignment="1" applyProtection="1">
      <alignment horizontal="center"/>
    </xf>
    <xf numFmtId="166" fontId="13" fillId="0" borderId="0" xfId="1" applyNumberFormat="1" applyFont="1" applyFill="1" applyBorder="1" applyProtection="1"/>
    <xf numFmtId="166" fontId="35" fillId="0" borderId="0" xfId="1" applyNumberFormat="1" applyFont="1" applyFill="1" applyBorder="1" applyProtection="1"/>
    <xf numFmtId="166" fontId="35" fillId="0" borderId="0" xfId="2" applyNumberFormat="1" applyFont="1" applyFill="1" applyBorder="1" applyProtection="1"/>
    <xf numFmtId="166" fontId="12" fillId="0" borderId="0" xfId="1" applyNumberFormat="1" applyFont="1" applyFill="1" applyBorder="1" applyProtection="1"/>
    <xf numFmtId="166" fontId="21" fillId="0" borderId="0" xfId="1" applyNumberFormat="1" applyFont="1" applyFill="1" applyBorder="1" applyProtection="1"/>
    <xf numFmtId="10" fontId="13" fillId="3" borderId="2" xfId="2" applyNumberFormat="1" applyFont="1" applyFill="1" applyBorder="1" applyAlignment="1" applyProtection="1">
      <alignment horizontal="center" vertical="top"/>
      <protection locked="0"/>
    </xf>
    <xf numFmtId="9" fontId="3" fillId="0" borderId="0" xfId="1" applyNumberFormat="1" applyFont="1" applyFill="1" applyBorder="1" applyProtection="1"/>
    <xf numFmtId="0" fontId="13" fillId="0" borderId="0" xfId="0" applyFont="1"/>
    <xf numFmtId="166" fontId="3" fillId="0" borderId="0" xfId="1" applyNumberFormat="1" applyFont="1" applyBorder="1" applyProtection="1"/>
    <xf numFmtId="0" fontId="7" fillId="0" borderId="0" xfId="0" applyFont="1"/>
    <xf numFmtId="166" fontId="4" fillId="0" borderId="0" xfId="1" applyNumberFormat="1" applyFont="1" applyBorder="1" applyProtection="1"/>
    <xf numFmtId="44" fontId="4" fillId="0" borderId="0" xfId="0" applyNumberFormat="1" applyFont="1"/>
    <xf numFmtId="0" fontId="28" fillId="0" borderId="0" xfId="0" applyFont="1" applyAlignment="1">
      <alignment horizontal="center"/>
    </xf>
    <xf numFmtId="0" fontId="3" fillId="0" borderId="3" xfId="0" applyFont="1" applyBorder="1"/>
    <xf numFmtId="0" fontId="7" fillId="0" borderId="4" xfId="0" applyFont="1" applyBorder="1"/>
    <xf numFmtId="0" fontId="3" fillId="0" borderId="4" xfId="0" applyFont="1" applyBorder="1"/>
    <xf numFmtId="0" fontId="3" fillId="0" borderId="4" xfId="0" applyFont="1" applyBorder="1" applyAlignment="1">
      <alignment horizontal="center"/>
    </xf>
    <xf numFmtId="0" fontId="3" fillId="0" borderId="6" xfId="0" applyFont="1" applyBorder="1"/>
    <xf numFmtId="0" fontId="29" fillId="0" borderId="0" xfId="0" applyFont="1" applyAlignment="1">
      <alignment horizontal="center"/>
    </xf>
    <xf numFmtId="0" fontId="11" fillId="0" borderId="0" xfId="0" applyFont="1" applyAlignment="1">
      <alignment horizontal="right"/>
    </xf>
    <xf numFmtId="0" fontId="30" fillId="0" borderId="0" xfId="0" applyFont="1"/>
    <xf numFmtId="0" fontId="30" fillId="0" borderId="0" xfId="0" applyFont="1" applyAlignment="1">
      <alignment horizontal="center"/>
    </xf>
    <xf numFmtId="0" fontId="3" fillId="0" borderId="0" xfId="0" applyFont="1" applyAlignment="1">
      <alignment horizontal="left" indent="2"/>
    </xf>
    <xf numFmtId="0" fontId="3" fillId="0" borderId="8" xfId="0" applyFont="1" applyBorder="1"/>
    <xf numFmtId="0" fontId="3" fillId="0" borderId="9" xfId="0" applyFont="1" applyBorder="1"/>
    <xf numFmtId="0" fontId="3" fillId="0" borderId="9" xfId="0" applyFont="1" applyBorder="1" applyAlignment="1">
      <alignment horizontal="center"/>
    </xf>
    <xf numFmtId="166" fontId="3" fillId="0" borderId="9" xfId="0" applyNumberFormat="1" applyFont="1" applyBorder="1"/>
    <xf numFmtId="13" fontId="3" fillId="0" borderId="0" xfId="0" applyNumberFormat="1" applyFont="1"/>
    <xf numFmtId="0" fontId="4" fillId="0" borderId="4" xfId="0" applyFont="1" applyBorder="1"/>
    <xf numFmtId="44" fontId="3" fillId="0" borderId="4" xfId="0" applyNumberFormat="1" applyFont="1" applyBorder="1"/>
    <xf numFmtId="0" fontId="3" fillId="7" borderId="2" xfId="4" applyNumberFormat="1" applyFont="1" applyFill="1" applyBorder="1" applyAlignment="1" applyProtection="1">
      <alignment horizontal="center" vertical="top"/>
    </xf>
    <xf numFmtId="3" fontId="3" fillId="2" borderId="1" xfId="0" applyNumberFormat="1" applyFont="1" applyFill="1" applyBorder="1" applyAlignment="1">
      <alignment horizontal="center"/>
    </xf>
    <xf numFmtId="166" fontId="3" fillId="2" borderId="1" xfId="0" applyNumberFormat="1" applyFont="1" applyFill="1" applyBorder="1" applyAlignment="1">
      <alignment horizontal="center"/>
    </xf>
    <xf numFmtId="166" fontId="3" fillId="0" borderId="0" xfId="0" applyNumberFormat="1" applyFont="1" applyAlignment="1">
      <alignment horizontal="center"/>
    </xf>
    <xf numFmtId="166" fontId="8" fillId="2" borderId="1" xfId="0" applyNumberFormat="1" applyFont="1" applyFill="1" applyBorder="1" applyAlignment="1">
      <alignment horizontal="center"/>
    </xf>
    <xf numFmtId="166" fontId="8" fillId="0" borderId="0" xfId="0" applyNumberFormat="1" applyFont="1" applyAlignment="1">
      <alignment horizontal="center"/>
    </xf>
    <xf numFmtId="166" fontId="4" fillId="0" borderId="0" xfId="0" applyNumberFormat="1" applyFont="1" applyAlignment="1">
      <alignment horizontal="center"/>
    </xf>
    <xf numFmtId="0" fontId="16" fillId="0" borderId="6" xfId="0" applyFont="1" applyBorder="1"/>
    <xf numFmtId="0" fontId="15" fillId="0" borderId="0" xfId="0" applyFont="1" applyAlignment="1">
      <alignment horizontal="left" indent="2"/>
    </xf>
    <xf numFmtId="0" fontId="15" fillId="0" borderId="0" xfId="0" applyFont="1"/>
    <xf numFmtId="166" fontId="15" fillId="0" borderId="0" xfId="0" applyNumberFormat="1" applyFont="1" applyAlignment="1">
      <alignment horizontal="center"/>
    </xf>
    <xf numFmtId="166" fontId="8" fillId="0" borderId="0" xfId="0" applyNumberFormat="1" applyFont="1"/>
    <xf numFmtId="166" fontId="4" fillId="2" borderId="0" xfId="0" applyNumberFormat="1" applyFont="1" applyFill="1"/>
    <xf numFmtId="166" fontId="4" fillId="2" borderId="1" xfId="0" applyNumberFormat="1" applyFont="1" applyFill="1" applyBorder="1"/>
    <xf numFmtId="0" fontId="5" fillId="0" borderId="6" xfId="0" applyFont="1" applyBorder="1"/>
    <xf numFmtId="0" fontId="24" fillId="0" borderId="0" xfId="0" applyFont="1"/>
    <xf numFmtId="166" fontId="24" fillId="0" borderId="0" xfId="0" applyNumberFormat="1" applyFont="1"/>
    <xf numFmtId="0" fontId="35" fillId="0" borderId="0" xfId="0" applyFont="1" applyAlignment="1">
      <alignment horizontal="left" indent="2"/>
    </xf>
    <xf numFmtId="0" fontId="12" fillId="0" borderId="0" xfId="0" applyFont="1" applyAlignment="1">
      <alignment horizontal="left" indent="2"/>
    </xf>
    <xf numFmtId="0" fontId="4" fillId="0" borderId="9" xfId="0" applyFont="1" applyBorder="1"/>
    <xf numFmtId="0" fontId="3" fillId="6" borderId="2" xfId="4" applyNumberFormat="1" applyFont="1" applyFill="1" applyBorder="1" applyAlignment="1" applyProtection="1">
      <alignment horizontal="center"/>
      <protection locked="0"/>
    </xf>
    <xf numFmtId="0" fontId="3" fillId="6" borderId="2" xfId="4" applyNumberFormat="1" applyFont="1" applyFill="1" applyBorder="1" applyAlignment="1" applyProtection="1">
      <alignment horizontal="center" vertical="top"/>
      <protection locked="0"/>
    </xf>
    <xf numFmtId="0" fontId="36" fillId="0" borderId="0" xfId="0" applyFont="1"/>
    <xf numFmtId="13" fontId="36" fillId="0" borderId="0" xfId="0" applyNumberFormat="1" applyFont="1"/>
    <xf numFmtId="0" fontId="37" fillId="0" borderId="6" xfId="0" applyFont="1" applyBorder="1"/>
    <xf numFmtId="166" fontId="4" fillId="4" borderId="2" xfId="0" applyNumberFormat="1" applyFont="1" applyFill="1" applyBorder="1"/>
    <xf numFmtId="0" fontId="3" fillId="6" borderId="2" xfId="0" applyFont="1" applyFill="1" applyBorder="1" applyProtection="1">
      <protection locked="0"/>
    </xf>
    <xf numFmtId="0" fontId="3" fillId="6" borderId="20" xfId="0" applyFont="1" applyFill="1" applyBorder="1" applyProtection="1">
      <protection locked="0"/>
    </xf>
    <xf numFmtId="9" fontId="35" fillId="0" borderId="0" xfId="2" applyFont="1" applyFill="1" applyBorder="1" applyProtection="1"/>
    <xf numFmtId="0" fontId="38" fillId="0" borderId="0" xfId="5" applyFont="1" applyFill="1" applyBorder="1" applyAlignment="1" applyProtection="1">
      <alignment horizontal="left"/>
    </xf>
    <xf numFmtId="0" fontId="10" fillId="0" borderId="0" xfId="0" applyFont="1" applyAlignment="1">
      <alignment horizontal="left"/>
    </xf>
    <xf numFmtId="0" fontId="4" fillId="2" borderId="24" xfId="0" applyFont="1" applyFill="1" applyBorder="1" applyAlignment="1">
      <alignment horizontal="center" vertical="top"/>
    </xf>
    <xf numFmtId="0" fontId="4" fillId="3" borderId="22" xfId="0" applyFont="1" applyFill="1" applyBorder="1" applyAlignment="1" applyProtection="1">
      <alignment horizontal="center" vertical="top"/>
      <protection locked="0"/>
    </xf>
    <xf numFmtId="0" fontId="10" fillId="0" borderId="0" xfId="0" applyFont="1" applyAlignment="1">
      <alignment vertical="top"/>
    </xf>
    <xf numFmtId="0" fontId="4" fillId="3" borderId="2" xfId="0" applyFont="1" applyFill="1" applyBorder="1" applyAlignment="1" applyProtection="1">
      <alignment horizontal="center" vertical="top"/>
      <protection locked="0"/>
    </xf>
    <xf numFmtId="167" fontId="33" fillId="0" borderId="0" xfId="0" applyNumberFormat="1" applyFont="1" applyAlignment="1">
      <alignment horizontal="center" vertical="top"/>
    </xf>
    <xf numFmtId="0" fontId="4" fillId="2" borderId="0" xfId="0" applyFont="1" applyFill="1" applyAlignment="1">
      <alignment vertical="top"/>
    </xf>
    <xf numFmtId="0" fontId="13" fillId="0" borderId="0" xfId="0" applyFont="1" applyAlignment="1">
      <alignment horizontal="left" vertical="top"/>
    </xf>
    <xf numFmtId="164" fontId="13" fillId="5" borderId="2" xfId="0" applyNumberFormat="1" applyFont="1" applyFill="1" applyBorder="1" applyAlignment="1" applyProtection="1">
      <alignment horizontal="left" vertical="top"/>
      <protection locked="0"/>
    </xf>
    <xf numFmtId="164" fontId="13" fillId="5" borderId="11" xfId="0" applyNumberFormat="1" applyFont="1" applyFill="1" applyBorder="1" applyAlignment="1" applyProtection="1">
      <alignment horizontal="left" vertical="top"/>
      <protection locked="0"/>
    </xf>
    <xf numFmtId="44" fontId="3" fillId="5" borderId="11" xfId="0" applyNumberFormat="1" applyFont="1" applyFill="1" applyBorder="1" applyAlignment="1" applyProtection="1">
      <alignment vertical="top"/>
      <protection locked="0"/>
    </xf>
    <xf numFmtId="9" fontId="3" fillId="0" borderId="0" xfId="2" applyFont="1" applyAlignment="1" applyProtection="1">
      <alignment horizontal="center" vertical="top"/>
    </xf>
    <xf numFmtId="0" fontId="4" fillId="3" borderId="23" xfId="0" applyFont="1" applyFill="1" applyBorder="1" applyAlignment="1" applyProtection="1">
      <alignment horizontal="center" vertical="top"/>
      <protection locked="0"/>
    </xf>
    <xf numFmtId="10" fontId="3" fillId="0" borderId="0" xfId="0" applyNumberFormat="1" applyFont="1"/>
    <xf numFmtId="0" fontId="3" fillId="0" borderId="0" xfId="0" applyFont="1" applyProtection="1"/>
    <xf numFmtId="0" fontId="10" fillId="0" borderId="0" xfId="0" applyFont="1" applyProtection="1"/>
    <xf numFmtId="0" fontId="3" fillId="0" borderId="12" xfId="0" applyFont="1" applyBorder="1" applyProtection="1"/>
    <xf numFmtId="0" fontId="3" fillId="0" borderId="13" xfId="0" applyFont="1" applyBorder="1" applyProtection="1"/>
    <xf numFmtId="0" fontId="3" fillId="0" borderId="14" xfId="0" applyFont="1" applyBorder="1" applyProtection="1"/>
    <xf numFmtId="0" fontId="5" fillId="0" borderId="0" xfId="0" applyFont="1" applyProtection="1"/>
    <xf numFmtId="0" fontId="3" fillId="0" borderId="15" xfId="0" applyFont="1" applyBorder="1" applyProtection="1"/>
    <xf numFmtId="0" fontId="14" fillId="0" borderId="0" xfId="0" applyFont="1" applyProtection="1"/>
    <xf numFmtId="0" fontId="12" fillId="0" borderId="0" xfId="0" applyFont="1" applyAlignment="1" applyProtection="1">
      <alignment horizontal="center"/>
    </xf>
    <xf numFmtId="0" fontId="3" fillId="0" borderId="16" xfId="0" applyFont="1" applyBorder="1" applyProtection="1"/>
    <xf numFmtId="0" fontId="0" fillId="0" borderId="0" xfId="0" applyAlignment="1" applyProtection="1">
      <alignment horizontal="left" vertical="center" indent="1"/>
    </xf>
    <xf numFmtId="0" fontId="3" fillId="0" borderId="0" xfId="0" applyFont="1" applyAlignment="1" applyProtection="1">
      <alignment horizontal="center"/>
    </xf>
    <xf numFmtId="0" fontId="8" fillId="0" borderId="0" xfId="0" applyFont="1" applyProtection="1"/>
    <xf numFmtId="0" fontId="4" fillId="0" borderId="0" xfId="0" applyFont="1" applyAlignment="1" applyProtection="1">
      <alignment horizontal="center"/>
    </xf>
    <xf numFmtId="0" fontId="4" fillId="0" borderId="0" xfId="0" applyFont="1" applyAlignment="1" applyProtection="1">
      <alignment horizontal="right"/>
    </xf>
    <xf numFmtId="0" fontId="4" fillId="0" borderId="0" xfId="0" applyFont="1" applyProtection="1"/>
    <xf numFmtId="0" fontId="13" fillId="0" borderId="0" xfId="0" applyFont="1" applyProtection="1"/>
    <xf numFmtId="44" fontId="39" fillId="0" borderId="0" xfId="0" applyNumberFormat="1" applyFont="1" applyProtection="1"/>
    <xf numFmtId="44" fontId="40" fillId="0" borderId="0" xfId="0" applyNumberFormat="1" applyFont="1" applyProtection="1"/>
    <xf numFmtId="44" fontId="3" fillId="0" borderId="0" xfId="0" applyNumberFormat="1" applyFont="1" applyProtection="1"/>
    <xf numFmtId="44" fontId="4" fillId="0" borderId="0" xfId="0" applyNumberFormat="1" applyFont="1" applyProtection="1"/>
    <xf numFmtId="0" fontId="21" fillId="0" borderId="0" xfId="0" quotePrefix="1" applyFont="1" applyAlignment="1" applyProtection="1">
      <alignment horizontal="left"/>
    </xf>
    <xf numFmtId="166" fontId="3" fillId="0" borderId="0" xfId="0" applyNumberFormat="1" applyFont="1" applyProtection="1"/>
    <xf numFmtId="0" fontId="13" fillId="0" borderId="0" xfId="0" quotePrefix="1" applyFont="1" applyAlignment="1" applyProtection="1">
      <alignment horizontal="left"/>
    </xf>
    <xf numFmtId="166" fontId="4" fillId="0" borderId="0" xfId="0" applyNumberFormat="1" applyFont="1" applyProtection="1"/>
    <xf numFmtId="0" fontId="7" fillId="0" borderId="0" xfId="0" applyFont="1" applyProtection="1"/>
    <xf numFmtId="0" fontId="3" fillId="0" borderId="17" xfId="0" applyFont="1" applyBorder="1" applyProtection="1"/>
    <xf numFmtId="0" fontId="4" fillId="0" borderId="18" xfId="0" applyFont="1" applyBorder="1" applyProtection="1"/>
    <xf numFmtId="0" fontId="3" fillId="0" borderId="18" xfId="0" applyFont="1" applyBorder="1" applyProtection="1"/>
    <xf numFmtId="0" fontId="3" fillId="0" borderId="19" xfId="0" applyFont="1" applyBorder="1" applyProtection="1"/>
    <xf numFmtId="166" fontId="3" fillId="0" borderId="13" xfId="0" applyNumberFormat="1" applyFont="1" applyBorder="1" applyProtection="1"/>
    <xf numFmtId="166" fontId="3" fillId="0" borderId="18" xfId="0" applyNumberFormat="1" applyFont="1" applyBorder="1" applyProtection="1"/>
    <xf numFmtId="0" fontId="31" fillId="0" borderId="0" xfId="0" applyFont="1" applyAlignment="1">
      <alignment horizontal="center" vertical="center"/>
    </xf>
    <xf numFmtId="0" fontId="10" fillId="0" borderId="0" xfId="0" applyFont="1" applyAlignment="1" applyProtection="1">
      <alignment horizontal="left"/>
    </xf>
    <xf numFmtId="13" fontId="3" fillId="0" borderId="0" xfId="0" applyNumberFormat="1" applyFont="1" applyProtection="1"/>
    <xf numFmtId="0" fontId="3" fillId="0" borderId="3" xfId="0" applyFont="1" applyBorder="1" applyProtection="1"/>
    <xf numFmtId="0" fontId="3" fillId="0" borderId="4" xfId="0" applyFont="1" applyBorder="1" applyProtection="1"/>
    <xf numFmtId="0" fontId="4" fillId="0" borderId="4" xfId="0" applyFont="1" applyBorder="1" applyProtection="1"/>
    <xf numFmtId="44" fontId="3" fillId="0" borderId="4" xfId="0" applyNumberFormat="1" applyFont="1" applyBorder="1" applyProtection="1"/>
    <xf numFmtId="0" fontId="3" fillId="0" borderId="5" xfId="0" applyFont="1" applyBorder="1" applyProtection="1"/>
    <xf numFmtId="0" fontId="3" fillId="0" borderId="6" xfId="0" applyFont="1" applyBorder="1" applyProtection="1"/>
    <xf numFmtId="0" fontId="3" fillId="0" borderId="7" xfId="0" applyFont="1" applyBorder="1" applyProtection="1"/>
    <xf numFmtId="3" fontId="3" fillId="2" borderId="1" xfId="0" applyNumberFormat="1" applyFont="1" applyFill="1" applyBorder="1" applyAlignment="1" applyProtection="1">
      <alignment horizontal="center"/>
    </xf>
    <xf numFmtId="166" fontId="3" fillId="2" borderId="1" xfId="0" applyNumberFormat="1" applyFont="1" applyFill="1" applyBorder="1" applyAlignment="1" applyProtection="1">
      <alignment horizontal="center"/>
    </xf>
    <xf numFmtId="166" fontId="3" fillId="0" borderId="0" xfId="0" applyNumberFormat="1" applyFont="1" applyAlignment="1" applyProtection="1">
      <alignment horizontal="center"/>
    </xf>
    <xf numFmtId="0" fontId="5" fillId="0" borderId="0" xfId="0" quotePrefix="1" applyFont="1" applyProtection="1"/>
    <xf numFmtId="166" fontId="8" fillId="2" borderId="1" xfId="0" applyNumberFormat="1" applyFont="1" applyFill="1" applyBorder="1" applyAlignment="1" applyProtection="1">
      <alignment horizontal="center"/>
    </xf>
    <xf numFmtId="166" fontId="8" fillId="0" borderId="0" xfId="0" applyNumberFormat="1" applyFont="1" applyAlignment="1" applyProtection="1">
      <alignment horizontal="center"/>
    </xf>
    <xf numFmtId="166" fontId="4" fillId="0" borderId="0" xfId="0" applyNumberFormat="1" applyFont="1" applyAlignment="1" applyProtection="1">
      <alignment horizontal="center"/>
    </xf>
    <xf numFmtId="0" fontId="16" fillId="0" borderId="0" xfId="0" applyFont="1" applyProtection="1"/>
    <xf numFmtId="0" fontId="16" fillId="0" borderId="6" xfId="0" applyFont="1" applyBorder="1" applyProtection="1"/>
    <xf numFmtId="0" fontId="15" fillId="0" borderId="0" xfId="0" applyFont="1" applyAlignment="1" applyProtection="1">
      <alignment horizontal="left" indent="2"/>
    </xf>
    <xf numFmtId="0" fontId="15" fillId="0" borderId="0" xfId="0" applyFont="1" applyProtection="1"/>
    <xf numFmtId="166" fontId="15" fillId="0" borderId="0" xfId="0" applyNumberFormat="1" applyFont="1" applyAlignment="1" applyProtection="1">
      <alignment horizontal="center"/>
    </xf>
    <xf numFmtId="0" fontId="16" fillId="0" borderId="7" xfId="0" applyFont="1" applyBorder="1" applyProtection="1"/>
    <xf numFmtId="166" fontId="8" fillId="0" borderId="0" xfId="0" applyNumberFormat="1" applyFont="1" applyProtection="1"/>
    <xf numFmtId="166" fontId="4" fillId="2" borderId="0" xfId="0" applyNumberFormat="1" applyFont="1" applyFill="1" applyProtection="1"/>
    <xf numFmtId="166" fontId="4" fillId="2" borderId="1" xfId="0" applyNumberFormat="1" applyFont="1" applyFill="1" applyBorder="1" applyProtection="1"/>
    <xf numFmtId="0" fontId="5" fillId="0" borderId="6" xfId="0" applyFont="1" applyBorder="1" applyProtection="1"/>
    <xf numFmtId="0" fontId="24" fillId="0" borderId="0" xfId="0" applyFont="1" applyProtection="1"/>
    <xf numFmtId="166" fontId="24" fillId="0" borderId="0" xfId="0" applyNumberFormat="1" applyFont="1" applyProtection="1"/>
    <xf numFmtId="0" fontId="9" fillId="0" borderId="0" xfId="0" applyFont="1" applyProtection="1"/>
    <xf numFmtId="3" fontId="13" fillId="0" borderId="0" xfId="0" applyNumberFormat="1" applyFont="1" applyAlignment="1" applyProtection="1">
      <alignment horizontal="center"/>
    </xf>
    <xf numFmtId="44" fontId="9" fillId="0" borderId="0" xfId="0" applyNumberFormat="1" applyFont="1" applyProtection="1"/>
    <xf numFmtId="0" fontId="5" fillId="0" borderId="7" xfId="0" applyFont="1" applyBorder="1" applyProtection="1"/>
    <xf numFmtId="44" fontId="5" fillId="0" borderId="0" xfId="0" applyNumberFormat="1" applyFont="1" applyProtection="1"/>
    <xf numFmtId="0" fontId="35" fillId="0" borderId="0" xfId="0" applyFont="1" applyAlignment="1" applyProtection="1">
      <alignment horizontal="left" indent="2"/>
    </xf>
    <xf numFmtId="0" fontId="12" fillId="0" borderId="0" xfId="0" applyFont="1" applyAlignment="1" applyProtection="1">
      <alignment horizontal="left" indent="2"/>
    </xf>
    <xf numFmtId="0" fontId="4" fillId="0" borderId="6" xfId="0" applyFont="1" applyBorder="1" applyProtection="1"/>
    <xf numFmtId="0" fontId="4" fillId="0" borderId="7" xfId="0" applyFont="1" applyBorder="1" applyProtection="1"/>
    <xf numFmtId="0" fontId="3" fillId="0" borderId="8" xfId="0" applyFont="1" applyBorder="1" applyProtection="1"/>
    <xf numFmtId="0" fontId="3" fillId="0" borderId="9" xfId="0" applyFont="1" applyBorder="1" applyProtection="1"/>
    <xf numFmtId="0" fontId="4" fillId="0" borderId="9" xfId="0" applyFont="1" applyBorder="1" applyProtection="1"/>
    <xf numFmtId="0" fontId="3" fillId="0" borderId="10" xfId="0" applyFont="1" applyBorder="1" applyProtection="1"/>
  </cellXfs>
  <cellStyles count="7">
    <cellStyle name="Hyperlink" xfId="5" builtinId="8"/>
    <cellStyle name="Komma" xfId="4" builtinId="3"/>
    <cellStyle name="Procent" xfId="2" builtinId="5"/>
    <cellStyle name="Standaard" xfId="0" builtinId="0"/>
    <cellStyle name="Standaard 10 2" xfId="6" xr:uid="{FC1276BD-F018-444A-A060-5E368AB12433}"/>
    <cellStyle name="Valuta" xfId="1" builtinId="4"/>
    <cellStyle name="Valuta 2" xfId="3" xr:uid="{75365A6F-47E9-48EC-935D-DB7559AF16D2}"/>
  </cellStyles>
  <dxfs count="0"/>
  <tableStyles count="0" defaultTableStyle="TableStyleMedium2" defaultPivotStyle="PivotStyleLight16"/>
  <colors>
    <mruColors>
      <color rgb="FFFFFFFF"/>
      <color rgb="FFCC3300"/>
      <color rgb="FFFFFFCC"/>
      <color rgb="FFFFCCCC"/>
      <color rgb="FFCC66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7471</xdr:colOff>
      <xdr:row>3</xdr:row>
      <xdr:rowOff>7472</xdr:rowOff>
    </xdr:from>
    <xdr:to>
      <xdr:col>20</xdr:col>
      <xdr:colOff>7471</xdr:colOff>
      <xdr:row>28</xdr:row>
      <xdr:rowOff>156882</xdr:rowOff>
    </xdr:to>
    <xdr:sp macro="" textlink="">
      <xdr:nvSpPr>
        <xdr:cNvPr id="2" name="Tekstvak 1">
          <a:extLst>
            <a:ext uri="{FF2B5EF4-FFF2-40B4-BE49-F238E27FC236}">
              <a16:creationId xmlns:a16="http://schemas.microsoft.com/office/drawing/2014/main" id="{4C93E6D6-2192-4E8B-827F-74B08B5A0448}"/>
            </a:ext>
          </a:extLst>
        </xdr:cNvPr>
        <xdr:cNvSpPr txBox="1"/>
      </xdr:nvSpPr>
      <xdr:spPr>
        <a:xfrm>
          <a:off x="6492091" y="556112"/>
          <a:ext cx="7132320" cy="4553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nl-NL" sz="1000">
              <a:solidFill>
                <a:schemeClr val="dk1"/>
              </a:solidFill>
              <a:effectLst/>
              <a:latin typeface="+mn-lt"/>
              <a:ea typeface="+mn-ea"/>
              <a:cs typeface="+mn-cs"/>
            </a:rPr>
            <a:t>Groeibekostiging wordt verstrekt als een schoolbestuur in een bepaalde maand met 4% of meer is gegroeid ten opzichte van het aantal leerlingen op de teldatum (1 februari t-1). Het betreft hier alleen bo-leerlingen. Groei wordt maandelijks berekend op basis van het aantal leerlingen dat op de eerste dag van de maand staat ingeschreven in ROD. De prikdatum, het moment waarop wordt vastgesteld hoeveel leerlingen er staan ingeschreven, is 28 dagen na de eerste dag van de maand. </a:t>
          </a:r>
        </a:p>
        <a:p>
          <a:pPr marL="171450" indent="-171450">
            <a:buFont typeface="Arial" panose="020B0604020202020204" pitchFamily="34" charset="0"/>
            <a:buChar char="•"/>
          </a:pPr>
          <a:r>
            <a:rPr lang="nl-NL" sz="1000">
              <a:solidFill>
                <a:schemeClr val="dk1"/>
              </a:solidFill>
              <a:effectLst/>
              <a:latin typeface="+mn-lt"/>
              <a:ea typeface="+mn-ea"/>
              <a:cs typeface="+mn-cs"/>
            </a:rPr>
            <a:t> Als de groei van een schoolbestuur minimaal gelijk is aan de drempel van 4% wordt groeibekostiging voor die maand toegekend. De groeibekostiging wordt berekend door het aantal leerlingen waarmee het bestuur is gegroeid ten opzichte van de teldatum te vermenigvuldigen met een bedrag per leerling. Het bedrag per leerling is 1/12</a:t>
          </a:r>
          <a:r>
            <a:rPr lang="nl-NL" sz="1000" baseline="30000">
              <a:solidFill>
                <a:schemeClr val="dk1"/>
              </a:solidFill>
              <a:effectLst/>
              <a:latin typeface="+mn-lt"/>
              <a:ea typeface="+mn-ea"/>
              <a:cs typeface="+mn-cs"/>
            </a:rPr>
            <a:t>e</a:t>
          </a:r>
          <a:r>
            <a:rPr lang="nl-NL" sz="1000">
              <a:solidFill>
                <a:schemeClr val="dk1"/>
              </a:solidFill>
              <a:effectLst/>
              <a:latin typeface="+mn-lt"/>
              <a:ea typeface="+mn-ea"/>
              <a:cs typeface="+mn-cs"/>
            </a:rPr>
            <a:t> van het reguliere bedrag per leerling. </a:t>
          </a:r>
        </a:p>
        <a:p>
          <a:pPr marL="171450" indent="-171450">
            <a:buFont typeface="Arial" panose="020B0604020202020204" pitchFamily="34" charset="0"/>
            <a:buChar char="•"/>
          </a:pPr>
          <a:r>
            <a:rPr lang="nl-NL" sz="1000">
              <a:solidFill>
                <a:schemeClr val="dk1"/>
              </a:solidFill>
              <a:effectLst/>
              <a:latin typeface="+mn-lt"/>
              <a:ea typeface="+mn-ea"/>
              <a:cs typeface="+mn-cs"/>
            </a:rPr>
            <a:t> Groeibekostiging wordt berekend op bestuursniveau. Daarbij is leidend hoe het bestuur is samengesteld op 1 augustus. Voor de eerste zeven maanden van het kalenderjaar is de samenstelling van het bestuur op 1 augustus t-1  in het voorgaande jaar (t-1) van belang. Voor de laatste vijf maanden van het kalenderjaar is dat 1 augustus van het kalenderjaar zelf. </a:t>
          </a:r>
        </a:p>
        <a:p>
          <a:endParaRPr lang="nl-NL" sz="1000" b="1">
            <a:solidFill>
              <a:schemeClr val="dk1"/>
            </a:solidFill>
            <a:effectLst/>
            <a:latin typeface="+mn-lt"/>
            <a:ea typeface="+mn-ea"/>
            <a:cs typeface="+mn-cs"/>
          </a:endParaRPr>
        </a:p>
        <a:p>
          <a:r>
            <a:rPr lang="nl-NL" sz="1000" b="1">
              <a:solidFill>
                <a:schemeClr val="dk1"/>
              </a:solidFill>
              <a:effectLst/>
              <a:latin typeface="+mn-lt"/>
              <a:ea typeface="+mn-ea"/>
              <a:cs typeface="+mn-cs"/>
            </a:rPr>
            <a:t>Berekening:</a:t>
          </a:r>
          <a:endParaRPr lang="nl-NL" sz="1000">
            <a:solidFill>
              <a:schemeClr val="dk1"/>
            </a:solidFill>
            <a:effectLst/>
            <a:latin typeface="+mn-lt"/>
            <a:ea typeface="+mn-ea"/>
            <a:cs typeface="+mn-cs"/>
          </a:endParaRPr>
        </a:p>
        <a:p>
          <a:pPr marL="171450" lvl="0" indent="-171450">
            <a:buFont typeface="Arial" panose="020B0604020202020204" pitchFamily="34" charset="0"/>
            <a:buChar char="•"/>
          </a:pPr>
          <a:r>
            <a:rPr lang="nl-NL" sz="1000">
              <a:solidFill>
                <a:schemeClr val="dk1"/>
              </a:solidFill>
              <a:effectLst/>
              <a:latin typeface="+mn-lt"/>
              <a:ea typeface="+mn-ea"/>
              <a:cs typeface="+mn-cs"/>
            </a:rPr>
            <a:t>drempel = 4% x aantal bo-leerlingen op 1 februari t-1 binnen bestuur </a:t>
          </a:r>
        </a:p>
        <a:p>
          <a:pPr marL="171450" lvl="0" indent="-171450">
            <a:buFont typeface="Arial" panose="020B0604020202020204" pitchFamily="34" charset="0"/>
            <a:buChar char="•"/>
          </a:pPr>
          <a:r>
            <a:rPr lang="nl-NL" sz="1000">
              <a:solidFill>
                <a:schemeClr val="dk1"/>
              </a:solidFill>
              <a:effectLst/>
              <a:latin typeface="+mn-lt"/>
              <a:ea typeface="+mn-ea"/>
              <a:cs typeface="+mn-cs"/>
            </a:rPr>
            <a:t>aantal bo-leerlingen groei = aantal bo-leerlingen op eerste van de maand binnen bestuur - aantal bo-leerlingen 1 februari t-1 binnen bestuur.</a:t>
          </a:r>
        </a:p>
        <a:p>
          <a:r>
            <a:rPr lang="nl-NL" sz="1000">
              <a:solidFill>
                <a:schemeClr val="dk1"/>
              </a:solidFill>
              <a:effectLst/>
              <a:latin typeface="+mn-lt"/>
              <a:ea typeface="+mn-ea"/>
              <a:cs typeface="+mn-cs"/>
            </a:rPr>
            <a:t> </a:t>
          </a:r>
        </a:p>
        <a:p>
          <a:r>
            <a:rPr lang="nl-NL" sz="1000">
              <a:solidFill>
                <a:schemeClr val="dk1"/>
              </a:solidFill>
              <a:effectLst/>
              <a:latin typeface="+mn-lt"/>
              <a:ea typeface="+mn-ea"/>
              <a:cs typeface="+mn-cs"/>
            </a:rPr>
            <a:t>Als ‘aantal bo-leerlingen groei’ op groeiteldatum ≥ drempel, dan: Groeibekostiging = ‘aantal bo-leerlingen groei’ op de groeiteldatum * bedrag per leerling groei</a:t>
          </a:r>
        </a:p>
        <a:p>
          <a:r>
            <a:rPr lang="nl-NL" sz="1000">
              <a:solidFill>
                <a:schemeClr val="dk1"/>
              </a:solidFill>
              <a:effectLst/>
              <a:latin typeface="+mn-lt"/>
              <a:ea typeface="+mn-ea"/>
              <a:cs typeface="+mn-cs"/>
            </a:rPr>
            <a:t> </a:t>
          </a:r>
        </a:p>
        <a:p>
          <a:r>
            <a:rPr lang="nl-NL" sz="1000" b="1">
              <a:solidFill>
                <a:schemeClr val="dk1"/>
              </a:solidFill>
              <a:effectLst/>
              <a:latin typeface="+mn-lt"/>
              <a:ea typeface="+mn-ea"/>
              <a:cs typeface="+mn-cs"/>
            </a:rPr>
            <a:t>Voorbeeld:</a:t>
          </a:r>
          <a:endParaRPr lang="nl-NL" sz="1000">
            <a:solidFill>
              <a:schemeClr val="dk1"/>
            </a:solidFill>
            <a:effectLst/>
            <a:latin typeface="+mn-lt"/>
            <a:ea typeface="+mn-ea"/>
            <a:cs typeface="+mn-cs"/>
          </a:endParaRPr>
        </a:p>
        <a:p>
          <a:pPr marL="171450" indent="-171450">
            <a:buFont typeface="Arial" panose="020B0604020202020204" pitchFamily="34" charset="0"/>
            <a:buChar char="•"/>
          </a:pPr>
          <a:r>
            <a:rPr lang="nl-NL" sz="1000">
              <a:solidFill>
                <a:schemeClr val="dk1"/>
              </a:solidFill>
              <a:effectLst/>
              <a:latin typeface="+mn-lt"/>
              <a:ea typeface="+mn-ea"/>
              <a:cs typeface="+mn-cs"/>
            </a:rPr>
            <a:t>Een schoolbestuur heeft op teldatum 1 februari t-1 100 leerlingen. Op 1 maart van jaar t heeft het schoolbestuur 105 leerlingen. De drempel om in aanmerking te komen voor groeibekostiging is voor dit schoolbestuur 100 leerlingen x 4% = 4 leerlingen. Het schoolbestuur haalt met 5 leerlingen groei de drempel. Het krijgt voor de maand maart voor 5 leerlingen groeibekostiging: 5 leerlingen x € 5.100,53 / 12 = € 2.125,22. </a:t>
          </a:r>
        </a:p>
        <a:p>
          <a:pPr marL="171450" indent="-171450">
            <a:buFont typeface="Arial" panose="020B0604020202020204" pitchFamily="34" charset="0"/>
            <a:buChar char="•"/>
          </a:pPr>
          <a:r>
            <a:rPr lang="nl-NL" sz="1000">
              <a:solidFill>
                <a:schemeClr val="dk1"/>
              </a:solidFill>
              <a:effectLst/>
              <a:latin typeface="+mn-lt"/>
              <a:ea typeface="+mn-ea"/>
              <a:cs typeface="+mn-cs"/>
            </a:rPr>
            <a:t>Hetzelfde schoolbestuur heeft op 1 april van jaar t nog maar 103 leerlingen. De drempel om in aanmerking te komen voor groeibekostiging is voor dit schoolbestuur (nog steeds) 100 leerlingen x 4% = 4 leerlingen. Het schoolbestuur haalt met 3 leerlingen groei de drempel niet. Voor de maand april ontvangt het schoolbestuur geen groeibekostiging.</a:t>
          </a:r>
        </a:p>
        <a:p>
          <a:endParaRPr lang="nl-NL"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185645</xdr:colOff>
      <xdr:row>2</xdr:row>
      <xdr:rowOff>164352</xdr:rowOff>
    </xdr:from>
    <xdr:to>
      <xdr:col>20</xdr:col>
      <xdr:colOff>1</xdr:colOff>
      <xdr:row>37</xdr:row>
      <xdr:rowOff>7471</xdr:rowOff>
    </xdr:to>
    <xdr:sp macro="" textlink="">
      <xdr:nvSpPr>
        <xdr:cNvPr id="2" name="Tekstvak 1">
          <a:extLst>
            <a:ext uri="{FF2B5EF4-FFF2-40B4-BE49-F238E27FC236}">
              <a16:creationId xmlns:a16="http://schemas.microsoft.com/office/drawing/2014/main" id="{35C9237D-1A56-47CF-BB74-3678009E1B35}"/>
            </a:ext>
          </a:extLst>
        </xdr:cNvPr>
        <xdr:cNvSpPr txBox="1"/>
      </xdr:nvSpPr>
      <xdr:spPr>
        <a:xfrm>
          <a:off x="6812057" y="522940"/>
          <a:ext cx="7262532" cy="51024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b="0" i="1">
              <a:solidFill>
                <a:schemeClr val="dk1"/>
              </a:solidFill>
              <a:effectLst/>
              <a:latin typeface="+mn-lt"/>
              <a:ea typeface="+mn-ea"/>
              <a:cs typeface="+mn-cs"/>
            </a:rPr>
            <a:t>Eerste opvang asielzoekers en overige vreemdelingen op basisscholen</a:t>
          </a:r>
        </a:p>
        <a:p>
          <a:pPr marL="171450" indent="-171450">
            <a:buFont typeface="Arial" panose="020B0604020202020204" pitchFamily="34" charset="0"/>
            <a:buChar char="•"/>
          </a:pPr>
          <a:r>
            <a:rPr lang="nl-NL" sz="1000" i="0">
              <a:solidFill>
                <a:schemeClr val="dk1"/>
              </a:solidFill>
              <a:effectLst/>
              <a:latin typeface="+mn-lt"/>
              <a:ea typeface="+mn-ea"/>
              <a:cs typeface="+mn-cs"/>
            </a:rPr>
            <a:t>Scholen kunnen op vier momenten aanvullende bekostiging voor asielzoekers en overige vreemdelingen aanvragen, te weten voor teldata 1 januari, 1 april, 1 juli en 1 oktober. Asielzoekers en overige vreemdelingen zijn in dit kader leerlingen met een verblijfsperiode in Nederland van minder dan één jaar. Voor IGBO-leerlingen kan deze aanvullende bekostiging niet worden aangevraagd.  </a:t>
          </a:r>
        </a:p>
        <a:p>
          <a:pPr marL="171450" indent="-171450">
            <a:buFont typeface="Arial" panose="020B0604020202020204" pitchFamily="34" charset="0"/>
            <a:buChar char="•"/>
          </a:pPr>
          <a:r>
            <a:rPr lang="nl-NL" sz="1000" i="0">
              <a:solidFill>
                <a:schemeClr val="dk1"/>
              </a:solidFill>
              <a:effectLst/>
              <a:latin typeface="+mn-lt"/>
              <a:ea typeface="+mn-ea"/>
              <a:cs typeface="+mn-cs"/>
            </a:rPr>
            <a:t>Om in aanmerking te komen voor deze aanvullende bekostiging geldt er voor elke teldatum een drempel van vier asielzoekers en overige vreemdelingen (het maakt in dit geval niet uit of het een asielzoeker of overige vreemdeling is, IGBO-leerlingen tellen niet mee). Als een school minimaal vier asielzoekers en/of overige vreemdelingen heeft op de teldatum, dan is de drempel gehaald en kan de school aanvullende bekostiging aanvragen. </a:t>
          </a:r>
        </a:p>
        <a:p>
          <a:pPr marL="171450" indent="-171450">
            <a:buFont typeface="Arial" panose="020B0604020202020204" pitchFamily="34" charset="0"/>
            <a:buChar char="•"/>
          </a:pPr>
          <a:r>
            <a:rPr lang="nl-NL" sz="1000" i="0">
              <a:solidFill>
                <a:schemeClr val="dk1"/>
              </a:solidFill>
              <a:effectLst/>
              <a:latin typeface="+mn-lt"/>
              <a:ea typeface="+mn-ea"/>
              <a:cs typeface="+mn-cs"/>
            </a:rPr>
            <a:t>Voor teldata 1 april, 1 juli en 1 oktober wordt er, mits de drempel is gehaald, aanvullende bekostiging betaald per asielzoeker en overige vreemdeling</a:t>
          </a:r>
          <a:r>
            <a:rPr lang="nl-NL" sz="1000" i="0">
              <a:solidFill>
                <a:srgbClr val="FF0000"/>
              </a:solidFill>
              <a:effectLst/>
              <a:latin typeface="+mn-lt"/>
              <a:ea typeface="+mn-ea"/>
              <a:cs typeface="+mn-cs"/>
            </a:rPr>
            <a:t>. </a:t>
          </a:r>
          <a:r>
            <a:rPr lang="nl-NL" sz="1000" i="0">
              <a:solidFill>
                <a:schemeClr val="tx1"/>
              </a:solidFill>
              <a:effectLst/>
              <a:latin typeface="+mn-lt"/>
              <a:ea typeface="+mn-ea"/>
              <a:cs typeface="+mn-cs"/>
            </a:rPr>
            <a:t>Het bedrag per asielzoeker is hoger dan het bedrag per overige vreemdeling. </a:t>
          </a:r>
        </a:p>
        <a:p>
          <a:pPr marL="171450" indent="-171450">
            <a:buFont typeface="Arial" panose="020B0604020202020204" pitchFamily="34" charset="0"/>
            <a:buChar char="•"/>
          </a:pPr>
          <a:r>
            <a:rPr lang="nl-NL" sz="1000" i="0">
              <a:solidFill>
                <a:schemeClr val="dk1"/>
              </a:solidFill>
              <a:effectLst/>
              <a:latin typeface="+mn-lt"/>
              <a:ea typeface="+mn-ea"/>
              <a:cs typeface="+mn-cs"/>
            </a:rPr>
            <a:t>Voor teldatum 1 januari wordt rekening gehouden met het aantal asielzoekers dat op 1 februari in het voorgaande jaar stonden ingeschreven. Reden hiervoor is dat deze leerlingen reeds meetellen in de bepaling van de basis- en extra bekostiging. Voor deze leerlingen wordt het lagere bedrag voor overige vreemdelingen toegekend.</a:t>
          </a:r>
        </a:p>
        <a:p>
          <a:pPr marL="171450" indent="-171450">
            <a:buFont typeface="Arial" panose="020B0604020202020204" pitchFamily="34" charset="0"/>
            <a:buChar char="•"/>
          </a:pPr>
          <a:r>
            <a:rPr lang="nl-NL" sz="1000" i="0">
              <a:solidFill>
                <a:schemeClr val="dk1"/>
              </a:solidFill>
              <a:effectLst/>
              <a:latin typeface="+mn-lt"/>
              <a:ea typeface="+mn-ea"/>
              <a:cs typeface="+mn-cs"/>
            </a:rPr>
            <a:t>Tot slot, als een school voor het eerst een aanvraag indient, ontvangt deze school een eenmalig bedrag. </a:t>
          </a:r>
        </a:p>
        <a:p>
          <a:r>
            <a:rPr lang="nl-NL" sz="1000" i="0">
              <a:solidFill>
                <a:schemeClr val="dk1"/>
              </a:solidFill>
              <a:effectLst/>
              <a:latin typeface="+mn-lt"/>
              <a:ea typeface="+mn-ea"/>
              <a:cs typeface="+mn-cs"/>
            </a:rPr>
            <a:t> </a:t>
          </a:r>
        </a:p>
        <a:p>
          <a:r>
            <a:rPr lang="nl-NL" sz="1000" b="1" i="0">
              <a:solidFill>
                <a:schemeClr val="dk1"/>
              </a:solidFill>
              <a:effectLst/>
              <a:latin typeface="+mn-lt"/>
              <a:ea typeface="+mn-ea"/>
              <a:cs typeface="+mn-cs"/>
            </a:rPr>
            <a:t>Rekenregel 1 januari</a:t>
          </a:r>
          <a:endParaRPr lang="nl-NL" sz="1000" i="0">
            <a:solidFill>
              <a:schemeClr val="dk1"/>
            </a:solidFill>
            <a:effectLst/>
            <a:latin typeface="+mn-lt"/>
            <a:ea typeface="+mn-ea"/>
            <a:cs typeface="+mn-cs"/>
          </a:endParaRPr>
        </a:p>
        <a:p>
          <a:pPr marL="171450" indent="-171450">
            <a:buFont typeface="Arial" panose="020B0604020202020204" pitchFamily="34" charset="0"/>
            <a:buChar char="•"/>
          </a:pPr>
          <a:r>
            <a:rPr lang="nl-NL" sz="1000" i="0">
              <a:solidFill>
                <a:schemeClr val="dk1"/>
              </a:solidFill>
              <a:effectLst/>
              <a:latin typeface="+mn-lt"/>
              <a:ea typeface="+mn-ea"/>
              <a:cs typeface="+mn-cs"/>
            </a:rPr>
            <a:t>Indien de drempel is gehaald en aantal azk 1 januari t &gt; aantal azk 1 februari t-1: </a:t>
          </a:r>
          <a:r>
            <a:rPr lang="nl-NL" sz="1000" b="1" i="0">
              <a:solidFill>
                <a:schemeClr val="dk1"/>
              </a:solidFill>
              <a:effectLst/>
              <a:latin typeface="+mn-lt"/>
              <a:ea typeface="+mn-ea"/>
              <a:cs typeface="+mn-cs"/>
            </a:rPr>
            <a:t> </a:t>
          </a:r>
          <a:r>
            <a:rPr lang="nl-NL" sz="1000" i="0">
              <a:solidFill>
                <a:schemeClr val="dk1"/>
              </a:solidFill>
              <a:effectLst/>
              <a:latin typeface="+mn-lt"/>
              <a:ea typeface="+mn-ea"/>
              <a:cs typeface="+mn-cs"/>
            </a:rPr>
            <a:t>(aantal azk 1 januari t - aantal azk 1 februari t-1) x bedrag H x 3/12 + aantal azk 1 februari t-1 x bedrag L x 3/12 + aantal </a:t>
          </a:r>
          <a:r>
            <a:rPr lang="nl-NL" sz="1000" b="1" i="0">
              <a:solidFill>
                <a:schemeClr val="dk1"/>
              </a:solidFill>
              <a:effectLst/>
              <a:latin typeface="+mn-lt"/>
              <a:ea typeface="+mn-ea"/>
              <a:cs typeface="+mn-cs"/>
            </a:rPr>
            <a:t>ov </a:t>
          </a:r>
          <a:r>
            <a:rPr lang="nl-NL" sz="1000" i="0">
              <a:solidFill>
                <a:schemeClr val="dk1"/>
              </a:solidFill>
              <a:effectLst/>
              <a:latin typeface="+mn-lt"/>
              <a:ea typeface="+mn-ea"/>
              <a:cs typeface="+mn-cs"/>
            </a:rPr>
            <a:t>1 januari t x bedrag L *3/12</a:t>
          </a:r>
        </a:p>
        <a:p>
          <a:pPr marL="171450" indent="-171450">
            <a:buFont typeface="Arial" panose="020B0604020202020204" pitchFamily="34" charset="0"/>
            <a:buChar char="•"/>
          </a:pPr>
          <a:r>
            <a:rPr lang="nl-NL" sz="1000" i="0">
              <a:solidFill>
                <a:schemeClr val="dk1"/>
              </a:solidFill>
              <a:effectLst/>
              <a:latin typeface="+mn-lt"/>
              <a:ea typeface="+mn-ea"/>
              <a:cs typeface="+mn-cs"/>
            </a:rPr>
            <a:t>Indien de drempel is gehaald en aantal azk 1 januari t ≤ aantal azk 1 februari t-1:  aantal azk 1 januari t *</a:t>
          </a:r>
          <a:r>
            <a:rPr lang="nl-NL" sz="1000" i="0">
              <a:solidFill>
                <a:schemeClr val="tx1"/>
              </a:solidFill>
              <a:effectLst/>
              <a:latin typeface="+mn-lt"/>
              <a:ea typeface="+mn-ea"/>
              <a:cs typeface="+mn-cs"/>
            </a:rPr>
            <a:t> bedrag L </a:t>
          </a:r>
          <a:r>
            <a:rPr lang="nl-NL" sz="1000" i="0">
              <a:solidFill>
                <a:srgbClr val="FF0000"/>
              </a:solidFill>
              <a:effectLst/>
              <a:latin typeface="+mn-lt"/>
              <a:ea typeface="+mn-ea"/>
              <a:cs typeface="+mn-cs"/>
            </a:rPr>
            <a:t> </a:t>
          </a:r>
          <a:r>
            <a:rPr lang="nl-NL" sz="1000" i="0">
              <a:solidFill>
                <a:schemeClr val="dk1"/>
              </a:solidFill>
              <a:effectLst/>
              <a:latin typeface="+mn-lt"/>
              <a:ea typeface="+mn-ea"/>
              <a:cs typeface="+mn-cs"/>
            </a:rPr>
            <a:t>* 3/12 + aantal ov 1 januari t * bedrag L * 3/12</a:t>
          </a:r>
        </a:p>
        <a:p>
          <a:r>
            <a:rPr lang="nl-NL" sz="1000" b="1" i="0">
              <a:solidFill>
                <a:schemeClr val="dk1"/>
              </a:solidFill>
              <a:effectLst/>
              <a:latin typeface="+mn-lt"/>
              <a:ea typeface="+mn-ea"/>
              <a:cs typeface="+mn-cs"/>
            </a:rPr>
            <a:t> </a:t>
          </a:r>
          <a:endParaRPr lang="nl-NL" sz="1000" i="0">
            <a:solidFill>
              <a:schemeClr val="dk1"/>
            </a:solidFill>
            <a:effectLst/>
            <a:latin typeface="+mn-lt"/>
            <a:ea typeface="+mn-ea"/>
            <a:cs typeface="+mn-cs"/>
          </a:endParaRPr>
        </a:p>
        <a:p>
          <a:r>
            <a:rPr lang="nl-NL" sz="1000" b="1" i="0">
              <a:solidFill>
                <a:schemeClr val="dk1"/>
              </a:solidFill>
              <a:effectLst/>
              <a:latin typeface="+mn-lt"/>
              <a:ea typeface="+mn-ea"/>
              <a:cs typeface="+mn-cs"/>
            </a:rPr>
            <a:t>Rekenregel andere teldata</a:t>
          </a:r>
          <a:endParaRPr lang="nl-NL" sz="1000" i="0">
            <a:solidFill>
              <a:schemeClr val="dk1"/>
            </a:solidFill>
            <a:effectLst/>
            <a:latin typeface="+mn-lt"/>
            <a:ea typeface="+mn-ea"/>
            <a:cs typeface="+mn-cs"/>
          </a:endParaRPr>
        </a:p>
        <a:p>
          <a:pPr marL="171450" indent="-171450">
            <a:buFont typeface="Arial" panose="020B0604020202020204" pitchFamily="34" charset="0"/>
            <a:buChar char="•"/>
          </a:pPr>
          <a:r>
            <a:rPr lang="nl-NL" sz="1000" b="1" i="0">
              <a:solidFill>
                <a:schemeClr val="dk1"/>
              </a:solidFill>
              <a:effectLst/>
              <a:latin typeface="+mn-lt"/>
              <a:ea typeface="+mn-ea"/>
              <a:cs typeface="+mn-cs"/>
            </a:rPr>
            <a:t> </a:t>
          </a:r>
          <a:r>
            <a:rPr lang="nl-NL" sz="1000" i="0">
              <a:solidFill>
                <a:schemeClr val="dk1"/>
              </a:solidFill>
              <a:effectLst/>
              <a:latin typeface="+mn-lt"/>
              <a:ea typeface="+mn-ea"/>
              <a:cs typeface="+mn-cs"/>
            </a:rPr>
            <a:t>Indien de drempel is gehaald: </a:t>
          </a:r>
          <a:r>
            <a:rPr lang="nl-NL" sz="1000" b="1" i="0">
              <a:solidFill>
                <a:schemeClr val="dk1"/>
              </a:solidFill>
              <a:effectLst/>
              <a:latin typeface="+mn-lt"/>
              <a:ea typeface="+mn-ea"/>
              <a:cs typeface="+mn-cs"/>
            </a:rPr>
            <a:t> </a:t>
          </a:r>
          <a:r>
            <a:rPr lang="nl-NL" sz="1000" i="0">
              <a:solidFill>
                <a:schemeClr val="dk1"/>
              </a:solidFill>
              <a:effectLst/>
              <a:latin typeface="+mn-lt"/>
              <a:ea typeface="+mn-ea"/>
              <a:cs typeface="+mn-cs"/>
            </a:rPr>
            <a:t>aantal azk teldatum x bedrag H x 3/12 + aantal ov teldatum x bedrag L x 3/12</a:t>
          </a:r>
        </a:p>
        <a:p>
          <a:r>
            <a:rPr lang="nl-NL" sz="1000" b="1" i="0">
              <a:solidFill>
                <a:schemeClr val="dk1"/>
              </a:solidFill>
              <a:effectLst/>
              <a:latin typeface="+mn-lt"/>
              <a:ea typeface="+mn-ea"/>
              <a:cs typeface="+mn-cs"/>
            </a:rPr>
            <a:t> </a:t>
          </a:r>
          <a:r>
            <a:rPr lang="nl-NL" sz="1000" i="0">
              <a:solidFill>
                <a:schemeClr val="dk1"/>
              </a:solidFill>
              <a:effectLst/>
              <a:latin typeface="+mn-lt"/>
              <a:ea typeface="+mn-ea"/>
              <a:cs typeface="+mn-cs"/>
            </a:rPr>
            <a:t> </a:t>
          </a:r>
        </a:p>
        <a:p>
          <a:r>
            <a:rPr lang="nl-NL" sz="1000" b="1" i="0">
              <a:solidFill>
                <a:schemeClr val="dk1"/>
              </a:solidFill>
              <a:effectLst/>
              <a:latin typeface="+mn-lt"/>
              <a:ea typeface="+mn-ea"/>
              <a:cs typeface="+mn-cs"/>
            </a:rPr>
            <a:t>Voorbeeld:</a:t>
          </a:r>
          <a:endParaRPr lang="nl-NL" sz="1000" i="0">
            <a:solidFill>
              <a:schemeClr val="dk1"/>
            </a:solidFill>
            <a:effectLst/>
            <a:latin typeface="+mn-lt"/>
            <a:ea typeface="+mn-ea"/>
            <a:cs typeface="+mn-cs"/>
          </a:endParaRPr>
        </a:p>
        <a:p>
          <a:r>
            <a:rPr lang="nl-NL" sz="1000" i="0">
              <a:solidFill>
                <a:schemeClr val="dk1"/>
              </a:solidFill>
              <a:effectLst/>
              <a:latin typeface="+mn-lt"/>
              <a:ea typeface="+mn-ea"/>
              <a:cs typeface="+mn-cs"/>
            </a:rPr>
            <a:t>Een school heeft op 1 januari 5 asielzoekersleerlingen die korter dan een jaar in Nederland verblijven. Op 1 februari daaraan voorafgaand waren het er 3. De school heeft op 1 januari </a:t>
          </a:r>
          <a:r>
            <a:rPr lang="nl-NL" sz="1000" b="0" i="0">
              <a:solidFill>
                <a:schemeClr val="dk1"/>
              </a:solidFill>
              <a:effectLst/>
              <a:latin typeface="+mn-lt"/>
              <a:ea typeface="+mn-ea"/>
              <a:cs typeface="+mn-cs"/>
            </a:rPr>
            <a:t>meer dan </a:t>
          </a:r>
          <a:r>
            <a:rPr lang="nl-NL" sz="1000" i="0">
              <a:solidFill>
                <a:schemeClr val="dk1"/>
              </a:solidFill>
              <a:effectLst/>
              <a:latin typeface="+mn-lt"/>
              <a:ea typeface="+mn-ea"/>
              <a:cs typeface="+mn-cs"/>
            </a:rPr>
            <a:t>4 asielzoekers en overige vreemdelingen en behaalt dus de drempel. Als de school voor het eerst aanvullende bekostiging ontvangt krijgt het: (5 -3) x € 10.909,17 x 3/12 + 3 x € 3.396,58 x 3/12 + €13.071,00 = €21.073,02.</a:t>
          </a:r>
          <a:endParaRPr lang="nl-NL" sz="1000" i="0">
            <a:effectLst/>
          </a:endParaRPr>
        </a:p>
        <a:p>
          <a:r>
            <a:rPr lang="nl-NL" sz="1000" i="0">
              <a:effectLst/>
            </a:rPr>
            <a:t>De aanvraag voor bekostiging moet zijn ontvangen binnen vier weken na de teldatum, tenzij het teldatum 1 juli betreft. In dat geval moet de aanvraag zijn ontvangen binnen acht weken na de teldatum. </a:t>
          </a:r>
          <a:r>
            <a:rPr lang="nl-NL" sz="1000" i="0">
              <a:solidFill>
                <a:schemeClr val="dk1"/>
              </a:solidFill>
              <a:effectLst/>
              <a:latin typeface="+mn-lt"/>
              <a:ea typeface="+mn-ea"/>
              <a:cs typeface="+mn-cs"/>
            </a:rPr>
            <a:t> </a:t>
          </a:r>
        </a:p>
        <a:p>
          <a:endParaRPr lang="nl-NL" sz="1100"/>
        </a:p>
      </xdr:txBody>
    </xdr:sp>
    <xdr:clientData/>
  </xdr:twoCellAnchor>
  <xdr:twoCellAnchor>
    <xdr:from>
      <xdr:col>8</xdr:col>
      <xdr:colOff>14942</xdr:colOff>
      <xdr:row>38</xdr:row>
      <xdr:rowOff>22412</xdr:rowOff>
    </xdr:from>
    <xdr:to>
      <xdr:col>20</xdr:col>
      <xdr:colOff>29883</xdr:colOff>
      <xdr:row>46</xdr:row>
      <xdr:rowOff>156882</xdr:rowOff>
    </xdr:to>
    <xdr:sp macro="" textlink="">
      <xdr:nvSpPr>
        <xdr:cNvPr id="3" name="Tekstvak 2">
          <a:extLst>
            <a:ext uri="{FF2B5EF4-FFF2-40B4-BE49-F238E27FC236}">
              <a16:creationId xmlns:a16="http://schemas.microsoft.com/office/drawing/2014/main" id="{50F9A21C-03AB-46E4-B691-BC5A37450F03}"/>
            </a:ext>
          </a:extLst>
        </xdr:cNvPr>
        <xdr:cNvSpPr txBox="1"/>
      </xdr:nvSpPr>
      <xdr:spPr>
        <a:xfrm>
          <a:off x="6828118" y="5804647"/>
          <a:ext cx="7276353" cy="1449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nl-NL" sz="1000" b="0" i="1">
              <a:solidFill>
                <a:schemeClr val="dk1"/>
              </a:solidFill>
              <a:effectLst/>
              <a:latin typeface="+mn-lt"/>
              <a:ea typeface="+mn-ea"/>
              <a:cs typeface="+mn-cs"/>
            </a:rPr>
            <a:t>Onderwijs aan asielzoekers gedurende het tweede jaar in Nederland op basisscholen</a:t>
          </a:r>
          <a:endParaRPr lang="nl-NL" sz="1000" b="1">
            <a:solidFill>
              <a:schemeClr val="dk1"/>
            </a:solidFill>
            <a:effectLst/>
            <a:latin typeface="+mn-lt"/>
            <a:ea typeface="+mn-ea"/>
            <a:cs typeface="+mn-cs"/>
          </a:endParaRPr>
        </a:p>
        <a:p>
          <a:pPr marL="171450" indent="-171450">
            <a:buFont typeface="Arial" panose="020B0604020202020204" pitchFamily="34" charset="0"/>
            <a:buChar char="•"/>
          </a:pPr>
          <a:r>
            <a:rPr lang="nl-NL" sz="1000">
              <a:solidFill>
                <a:schemeClr val="dk1"/>
              </a:solidFill>
              <a:effectLst/>
              <a:latin typeface="+mn-lt"/>
              <a:ea typeface="+mn-ea"/>
              <a:cs typeface="+mn-cs"/>
            </a:rPr>
            <a:t>Scholen kunnen op vier momenten aanvullende bekostiging aanvragen voor asielzoekersleerlingen die tussen de een tot twee jaar in Nederland verblijven, te weten voor teldata 1 januari, 1 april, 1 juli en 1 oktober. Voor IGBO-leerlingen en overige vreemdelingen kan deze aanvullende bekostiging niet worden aangevraagd.  </a:t>
          </a:r>
        </a:p>
        <a:p>
          <a:pPr marL="171450" indent="-171450">
            <a:buFont typeface="Arial" panose="020B0604020202020204" pitchFamily="34" charset="0"/>
            <a:buChar char="•"/>
          </a:pPr>
          <a:r>
            <a:rPr lang="nl-NL" sz="1000">
              <a:solidFill>
                <a:schemeClr val="dk1"/>
              </a:solidFill>
              <a:effectLst/>
              <a:latin typeface="+mn-lt"/>
              <a:ea typeface="+mn-ea"/>
              <a:cs typeface="+mn-cs"/>
            </a:rPr>
            <a:t>De aanvullende bekostiging bestaat per teldatum uit een kwart van het bedrag per tweedejaars asielzoeker. Er geldt geen drempel qua aantal leerlingen voordat er recht ontstaat op deze aanvullende bekostiging. </a:t>
          </a:r>
        </a:p>
        <a:p>
          <a:r>
            <a:rPr lang="nl-NL" sz="1000">
              <a:solidFill>
                <a:schemeClr val="dk1"/>
              </a:solidFill>
              <a:effectLst/>
              <a:latin typeface="+mn-lt"/>
              <a:ea typeface="+mn-ea"/>
              <a:cs typeface="+mn-cs"/>
            </a:rPr>
            <a:t> </a:t>
          </a:r>
        </a:p>
        <a:p>
          <a:r>
            <a:rPr lang="nl-NL" sz="1000">
              <a:solidFill>
                <a:schemeClr val="dk1"/>
              </a:solidFill>
              <a:effectLst/>
              <a:latin typeface="+mn-lt"/>
              <a:ea typeface="+mn-ea"/>
              <a:cs typeface="+mn-cs"/>
            </a:rPr>
            <a:t> </a:t>
          </a:r>
        </a:p>
        <a:p>
          <a:endParaRPr lang="nl-NL" sz="1000"/>
        </a:p>
      </xdr:txBody>
    </xdr:sp>
    <xdr:clientData/>
  </xdr:twoCellAnchor>
  <xdr:twoCellAnchor>
    <xdr:from>
      <xdr:col>8</xdr:col>
      <xdr:colOff>14942</xdr:colOff>
      <xdr:row>48</xdr:row>
      <xdr:rowOff>0</xdr:rowOff>
    </xdr:from>
    <xdr:to>
      <xdr:col>20</xdr:col>
      <xdr:colOff>22412</xdr:colOff>
      <xdr:row>53</xdr:row>
      <xdr:rowOff>7471</xdr:rowOff>
    </xdr:to>
    <xdr:sp macro="" textlink="">
      <xdr:nvSpPr>
        <xdr:cNvPr id="4" name="Tekstvak 3">
          <a:extLst>
            <a:ext uri="{FF2B5EF4-FFF2-40B4-BE49-F238E27FC236}">
              <a16:creationId xmlns:a16="http://schemas.microsoft.com/office/drawing/2014/main" id="{54216534-403B-426C-AAA7-8B0F78CA8090}"/>
            </a:ext>
          </a:extLst>
        </xdr:cNvPr>
        <xdr:cNvSpPr txBox="1"/>
      </xdr:nvSpPr>
      <xdr:spPr>
        <a:xfrm>
          <a:off x="6828118" y="7425765"/>
          <a:ext cx="7268882" cy="8292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nl-NL" sz="1000" b="0" i="1">
              <a:solidFill>
                <a:schemeClr val="dk1"/>
              </a:solidFill>
              <a:effectLst/>
              <a:latin typeface="+mn-lt"/>
              <a:ea typeface="+mn-ea"/>
              <a:cs typeface="+mn-cs"/>
            </a:rPr>
            <a:t>Opvang asielzoekerskinderen in procesopvanglocaties en gezinslocaties</a:t>
          </a:r>
          <a:endParaRPr lang="nl-NL" sz="1000" b="1">
            <a:solidFill>
              <a:schemeClr val="dk1"/>
            </a:solidFill>
            <a:effectLst/>
            <a:latin typeface="+mn-lt"/>
            <a:ea typeface="+mn-ea"/>
            <a:cs typeface="+mn-cs"/>
          </a:endParaRPr>
        </a:p>
        <a:p>
          <a:pPr marL="171450" indent="-171450">
            <a:buFont typeface="Arial" panose="020B0604020202020204" pitchFamily="34" charset="0"/>
            <a:buChar char="•"/>
          </a:pPr>
          <a:r>
            <a:rPr lang="nl-NL" sz="1000">
              <a:solidFill>
                <a:schemeClr val="dk1"/>
              </a:solidFill>
              <a:effectLst/>
              <a:latin typeface="+mn-lt"/>
              <a:ea typeface="+mn-ea"/>
              <a:cs typeface="+mn-cs"/>
            </a:rPr>
            <a:t>Scholen kunnen aanvullende bekostiging aanvragen voor leerlingen die op 1 februari t-1 in een pol/glo verblijven.</a:t>
          </a:r>
          <a:r>
            <a:rPr lang="nl-NL" sz="1000" baseline="0">
              <a:solidFill>
                <a:schemeClr val="dk1"/>
              </a:solidFill>
              <a:effectLst/>
              <a:latin typeface="+mn-lt"/>
              <a:ea typeface="+mn-ea"/>
              <a:cs typeface="+mn-cs"/>
            </a:rPr>
            <a:t> </a:t>
          </a:r>
        </a:p>
        <a:p>
          <a:pPr marL="171450" indent="-171450">
            <a:buFont typeface="Arial" panose="020B0604020202020204" pitchFamily="34" charset="0"/>
            <a:buChar char="•"/>
          </a:pPr>
          <a:r>
            <a:rPr lang="nl-NL" sz="1000">
              <a:solidFill>
                <a:schemeClr val="dk1"/>
              </a:solidFill>
              <a:effectLst/>
              <a:latin typeface="+mn-lt"/>
              <a:ea typeface="+mn-ea"/>
              <a:cs typeface="+mn-cs"/>
            </a:rPr>
            <a:t>Het gaat om een bedrag per leerling en er is geen drempel voordat er recht ontstaat op deze aanvullende bekostiging. </a:t>
          </a:r>
        </a:p>
      </xdr:txBody>
    </xdr:sp>
    <xdr:clientData/>
  </xdr:twoCellAnchor>
  <xdr:twoCellAnchor>
    <xdr:from>
      <xdr:col>8</xdr:col>
      <xdr:colOff>14942</xdr:colOff>
      <xdr:row>54</xdr:row>
      <xdr:rowOff>29883</xdr:rowOff>
    </xdr:from>
    <xdr:to>
      <xdr:col>20</xdr:col>
      <xdr:colOff>14941</xdr:colOff>
      <xdr:row>72</xdr:row>
      <xdr:rowOff>156883</xdr:rowOff>
    </xdr:to>
    <xdr:sp macro="" textlink="">
      <xdr:nvSpPr>
        <xdr:cNvPr id="5" name="Tekstvak 4">
          <a:extLst>
            <a:ext uri="{FF2B5EF4-FFF2-40B4-BE49-F238E27FC236}">
              <a16:creationId xmlns:a16="http://schemas.microsoft.com/office/drawing/2014/main" id="{CA72BE9A-96E9-42E2-9058-6DB90323A607}"/>
            </a:ext>
          </a:extLst>
        </xdr:cNvPr>
        <xdr:cNvSpPr txBox="1"/>
      </xdr:nvSpPr>
      <xdr:spPr>
        <a:xfrm>
          <a:off x="6828118" y="8441765"/>
          <a:ext cx="7261411" cy="3085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nl-NL" sz="1000" b="0" i="1">
              <a:solidFill>
                <a:schemeClr val="dk1"/>
              </a:solidFill>
              <a:effectLst/>
              <a:latin typeface="+mn-lt"/>
              <a:ea typeface="+mn-ea"/>
              <a:cs typeface="+mn-cs"/>
            </a:rPr>
            <a:t>Schipperskinderen</a:t>
          </a:r>
          <a:endParaRPr lang="nl-NL" sz="1000" b="1">
            <a:solidFill>
              <a:schemeClr val="dk1"/>
            </a:solidFill>
            <a:effectLst/>
            <a:latin typeface="+mn-lt"/>
            <a:ea typeface="+mn-ea"/>
            <a:cs typeface="+mn-cs"/>
          </a:endParaRPr>
        </a:p>
        <a:p>
          <a:pPr marL="171450" indent="-171450">
            <a:buFont typeface="Arial" panose="020B0604020202020204" pitchFamily="34" charset="0"/>
            <a:buChar char="•"/>
          </a:pPr>
          <a:r>
            <a:rPr lang="nl-NL" sz="1000">
              <a:solidFill>
                <a:schemeClr val="dk1"/>
              </a:solidFill>
              <a:effectLst/>
              <a:latin typeface="+mn-lt"/>
              <a:ea typeface="+mn-ea"/>
              <a:cs typeface="+mn-cs"/>
            </a:rPr>
            <a:t>Een bo-school ontvangt aanvullende bekostiging voor het aantal maanden dat er schipperskinderen onderwijs krijgen op de school. De drempel voor bekostiging is ten minste drie schipperskinderen in de eerste vier verblijfsjaren op een reguliere bo-school en die verblijven in een internaat of pleeggezin. </a:t>
          </a:r>
        </a:p>
        <a:p>
          <a:pPr marL="171450" indent="-171450">
            <a:buFont typeface="Arial" panose="020B0604020202020204" pitchFamily="34" charset="0"/>
            <a:buChar char="•"/>
          </a:pPr>
          <a:r>
            <a:rPr lang="nl-NL" sz="1000">
              <a:solidFill>
                <a:schemeClr val="dk1"/>
              </a:solidFill>
              <a:effectLst/>
              <a:latin typeface="+mn-lt"/>
              <a:ea typeface="+mn-ea"/>
              <a:cs typeface="+mn-cs"/>
            </a:rPr>
            <a:t>De school dient een aanvraag in bij DUO om in aanmerking te komen voor de aanvullende bekostiging. De ingangsdatum van de aanvullende bekostiging is de maand na ontvangst van de aanvraag. Uitzondering hierop is januari; als een aanvraag in die maand wordt ingediend, dan is de ingangsdatum van de bekostiging ook januari. Een aanvraag moet voor 1 december van het bekostigingsjaar zijn ontvangen. </a:t>
          </a:r>
        </a:p>
        <a:p>
          <a:endParaRPr lang="nl-NL" sz="1000" b="1">
            <a:solidFill>
              <a:schemeClr val="dk1"/>
            </a:solidFill>
            <a:effectLst/>
            <a:latin typeface="+mn-lt"/>
            <a:ea typeface="+mn-ea"/>
            <a:cs typeface="+mn-cs"/>
          </a:endParaRPr>
        </a:p>
        <a:p>
          <a:r>
            <a:rPr lang="nl-NL" sz="1000" b="1">
              <a:solidFill>
                <a:schemeClr val="dk1"/>
              </a:solidFill>
              <a:effectLst/>
              <a:latin typeface="+mn-lt"/>
              <a:ea typeface="+mn-ea"/>
              <a:cs typeface="+mn-cs"/>
            </a:rPr>
            <a:t>Berekening:</a:t>
          </a:r>
          <a:endParaRPr lang="nl-NL" sz="1000">
            <a:solidFill>
              <a:schemeClr val="dk1"/>
            </a:solidFill>
            <a:effectLst/>
            <a:latin typeface="+mn-lt"/>
            <a:ea typeface="+mn-ea"/>
            <a:cs typeface="+mn-cs"/>
          </a:endParaRPr>
        </a:p>
        <a:p>
          <a:r>
            <a:rPr lang="nl-NL" sz="1000">
              <a:solidFill>
                <a:schemeClr val="dk1"/>
              </a:solidFill>
              <a:effectLst/>
              <a:latin typeface="+mn-lt"/>
              <a:ea typeface="+mn-ea"/>
              <a:cs typeface="+mn-cs"/>
            </a:rPr>
            <a:t>Aanvullende bekostiging schipperskinderen = aantal schipperskinderen x bedrag / 12 x aantal maanden toekenning</a:t>
          </a:r>
        </a:p>
        <a:p>
          <a:r>
            <a:rPr lang="nl-NL" sz="1000">
              <a:solidFill>
                <a:schemeClr val="dk1"/>
              </a:solidFill>
              <a:effectLst/>
              <a:latin typeface="+mn-lt"/>
              <a:ea typeface="+mn-ea"/>
              <a:cs typeface="+mn-cs"/>
            </a:rPr>
            <a:t> </a:t>
          </a:r>
        </a:p>
        <a:p>
          <a:r>
            <a:rPr lang="nl-NL" sz="1000" b="1">
              <a:solidFill>
                <a:schemeClr val="dk1"/>
              </a:solidFill>
              <a:effectLst/>
              <a:latin typeface="+mn-lt"/>
              <a:ea typeface="+mn-ea"/>
              <a:cs typeface="+mn-cs"/>
            </a:rPr>
            <a:t>Voorbeeld:</a:t>
          </a:r>
          <a:endParaRPr lang="nl-NL" sz="1000">
            <a:solidFill>
              <a:schemeClr val="dk1"/>
            </a:solidFill>
            <a:effectLst/>
            <a:latin typeface="+mn-lt"/>
            <a:ea typeface="+mn-ea"/>
            <a:cs typeface="+mn-cs"/>
          </a:endParaRPr>
        </a:p>
        <a:p>
          <a:pPr marL="171450" indent="-171450">
            <a:buFont typeface="Arial" panose="020B0604020202020204" pitchFamily="34" charset="0"/>
            <a:buChar char="•"/>
          </a:pPr>
          <a:r>
            <a:rPr lang="nl-NL" sz="1000">
              <a:solidFill>
                <a:schemeClr val="dk1"/>
              </a:solidFill>
              <a:effectLst/>
              <a:latin typeface="+mn-lt"/>
              <a:ea typeface="+mn-ea"/>
              <a:cs typeface="+mn-cs"/>
            </a:rPr>
            <a:t>Een bo-school geeft vanaf 10 augustus onderwijs aan zes schipperskinderen en dient hiervoor eind augustus een aanvraag in bij DUO. </a:t>
          </a:r>
        </a:p>
        <a:p>
          <a:pPr marL="171450" indent="-171450">
            <a:buFont typeface="Arial" panose="020B0604020202020204" pitchFamily="34" charset="0"/>
            <a:buChar char="•"/>
          </a:pPr>
          <a:r>
            <a:rPr lang="nl-NL" sz="1000">
              <a:solidFill>
                <a:schemeClr val="dk1"/>
              </a:solidFill>
              <a:effectLst/>
              <a:latin typeface="+mn-lt"/>
              <a:ea typeface="+mn-ea"/>
              <a:cs typeface="+mn-cs"/>
            </a:rPr>
            <a:t>De school ontvangt hier vanaf september bekostiging voor: 6 x (€ 2.021,36 / 12) x 4 = € 4.042,72.</a:t>
          </a:r>
        </a:p>
        <a:p>
          <a:endParaRPr lang="nl-NL" sz="1000"/>
        </a:p>
      </xdr:txBody>
    </xdr:sp>
    <xdr:clientData/>
  </xdr:twoCellAnchor>
  <xdr:twoCellAnchor>
    <xdr:from>
      <xdr:col>8</xdr:col>
      <xdr:colOff>7471</xdr:colOff>
      <xdr:row>74</xdr:row>
      <xdr:rowOff>7471</xdr:rowOff>
    </xdr:from>
    <xdr:to>
      <xdr:col>19</xdr:col>
      <xdr:colOff>597647</xdr:colOff>
      <xdr:row>92</xdr:row>
      <xdr:rowOff>127000</xdr:rowOff>
    </xdr:to>
    <xdr:sp macro="" textlink="">
      <xdr:nvSpPr>
        <xdr:cNvPr id="6" name="Tekstvak 5">
          <a:extLst>
            <a:ext uri="{FF2B5EF4-FFF2-40B4-BE49-F238E27FC236}">
              <a16:creationId xmlns:a16="http://schemas.microsoft.com/office/drawing/2014/main" id="{DD0814F2-E794-40EB-BA40-9CFAC21DF94C}"/>
            </a:ext>
          </a:extLst>
        </xdr:cNvPr>
        <xdr:cNvSpPr txBox="1"/>
      </xdr:nvSpPr>
      <xdr:spPr>
        <a:xfrm>
          <a:off x="6820647" y="11706412"/>
          <a:ext cx="7246471" cy="30778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nl-NL" sz="1000" b="0" i="1">
              <a:solidFill>
                <a:schemeClr val="dk1"/>
              </a:solidFill>
              <a:effectLst/>
              <a:latin typeface="+mn-lt"/>
              <a:ea typeface="+mn-ea"/>
              <a:cs typeface="+mn-cs"/>
            </a:rPr>
            <a:t>Leerlingen met een culturele achtergrond van de Roma en Sinti</a:t>
          </a:r>
          <a:endParaRPr lang="nl-NL" sz="1000" b="1">
            <a:solidFill>
              <a:schemeClr val="dk1"/>
            </a:solidFill>
            <a:effectLst/>
            <a:latin typeface="+mn-lt"/>
            <a:ea typeface="+mn-ea"/>
            <a:cs typeface="+mn-cs"/>
          </a:endParaRPr>
        </a:p>
        <a:p>
          <a:r>
            <a:rPr lang="nl-NL" sz="1000">
              <a:solidFill>
                <a:schemeClr val="dk1"/>
              </a:solidFill>
              <a:effectLst/>
              <a:latin typeface="+mn-lt"/>
              <a:ea typeface="+mn-ea"/>
              <a:cs typeface="+mn-cs"/>
            </a:rPr>
            <a:t>Een bo-school ontvangt aanvullende bekostiging voor het aantal maanden dat er leerlingen met een culturele achtergrond van de Roma en Sinti onderwijs krijgen op de school. De drempel voor bekostiging is ten minste vier van deze leerlingen.</a:t>
          </a:r>
        </a:p>
        <a:p>
          <a:r>
            <a:rPr lang="nl-NL" sz="1000">
              <a:solidFill>
                <a:schemeClr val="dk1"/>
              </a:solidFill>
              <a:effectLst/>
              <a:latin typeface="+mn-lt"/>
              <a:ea typeface="+mn-ea"/>
              <a:cs typeface="+mn-cs"/>
            </a:rPr>
            <a:t> </a:t>
          </a:r>
        </a:p>
        <a:p>
          <a:r>
            <a:rPr lang="nl-NL" sz="1000" b="1">
              <a:solidFill>
                <a:schemeClr val="dk1"/>
              </a:solidFill>
              <a:effectLst/>
              <a:latin typeface="+mn-lt"/>
              <a:ea typeface="+mn-ea"/>
              <a:cs typeface="+mn-cs"/>
            </a:rPr>
            <a:t>Berekening:</a:t>
          </a:r>
          <a:endParaRPr lang="nl-NL" sz="1000">
            <a:solidFill>
              <a:schemeClr val="dk1"/>
            </a:solidFill>
            <a:effectLst/>
            <a:latin typeface="+mn-lt"/>
            <a:ea typeface="+mn-ea"/>
            <a:cs typeface="+mn-cs"/>
          </a:endParaRPr>
        </a:p>
        <a:p>
          <a:r>
            <a:rPr lang="nl-NL" sz="1000">
              <a:solidFill>
                <a:schemeClr val="dk1"/>
              </a:solidFill>
              <a:effectLst/>
              <a:latin typeface="+mn-lt"/>
              <a:ea typeface="+mn-ea"/>
              <a:cs typeface="+mn-cs"/>
            </a:rPr>
            <a:t>Aanvullende bekostiging Roma/Sinti = aantal Roma-/Sinti-leerlingen x bedrag / 12 x aantal maanden toekenning</a:t>
          </a:r>
        </a:p>
        <a:p>
          <a:r>
            <a:rPr lang="nl-NL" sz="1000">
              <a:solidFill>
                <a:schemeClr val="dk1"/>
              </a:solidFill>
              <a:effectLst/>
              <a:latin typeface="+mn-lt"/>
              <a:ea typeface="+mn-ea"/>
              <a:cs typeface="+mn-cs"/>
            </a:rPr>
            <a:t> </a:t>
          </a:r>
        </a:p>
        <a:p>
          <a:r>
            <a:rPr lang="nl-NL" sz="1000" b="1">
              <a:solidFill>
                <a:schemeClr val="dk1"/>
              </a:solidFill>
              <a:effectLst/>
              <a:latin typeface="+mn-lt"/>
              <a:ea typeface="+mn-ea"/>
              <a:cs typeface="+mn-cs"/>
            </a:rPr>
            <a:t>Voorbeeld:</a:t>
          </a:r>
          <a:endParaRPr lang="nl-NL" sz="1000">
            <a:solidFill>
              <a:schemeClr val="dk1"/>
            </a:solidFill>
            <a:effectLst/>
            <a:latin typeface="+mn-lt"/>
            <a:ea typeface="+mn-ea"/>
            <a:cs typeface="+mn-cs"/>
          </a:endParaRPr>
        </a:p>
        <a:p>
          <a:pPr marL="171450" indent="-171450">
            <a:buFont typeface="Arial" panose="020B0604020202020204" pitchFamily="34" charset="0"/>
            <a:buChar char="•"/>
          </a:pPr>
          <a:r>
            <a:rPr lang="nl-NL" sz="1000">
              <a:effectLst/>
              <a:latin typeface="+mn-lt"/>
            </a:rPr>
            <a:t>De school dient een aanvraag in bij DUO om in aanmerking te komen voor de aanvullende bekostiging. De ingangsdatum van de aanvullende bekostiging is de maand na ontvangst van de aanvraag. Uitzondering hierop is januari; als een aanvraag in die maand wordt ingediend, dan is de ingangsdatum van de bekostiging ook januari. Een aanvraag moet voor 1 december van het bekostigingsjaar zijn ontvangen.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l-NL" sz="1000">
              <a:solidFill>
                <a:schemeClr val="dk1"/>
              </a:solidFill>
              <a:effectLst/>
              <a:latin typeface="+mn-lt"/>
              <a:ea typeface="+mn-ea"/>
              <a:cs typeface="+mn-cs"/>
            </a:rPr>
            <a:t>Een bo-school geeft vanaf 10 augustus onderwijs aan zes Roma/Sinti-leerlingen en dient hiervoor eind augustus een aanvraag in bij DUO. De school ontvangt hier vanaf september bekostiging voor: 6 x (€ 3.413,00 / 12) x 4 = € 6.826,00.</a:t>
          </a:r>
          <a:endParaRPr lang="nl-NL" sz="1000">
            <a:effectLst/>
            <a:latin typeface="+mn-lt"/>
          </a:endParaRPr>
        </a:p>
      </xdr:txBody>
    </xdr:sp>
    <xdr:clientData/>
  </xdr:twoCellAnchor>
  <xdr:twoCellAnchor>
    <xdr:from>
      <xdr:col>8</xdr:col>
      <xdr:colOff>1</xdr:colOff>
      <xdr:row>94</xdr:row>
      <xdr:rowOff>0</xdr:rowOff>
    </xdr:from>
    <xdr:to>
      <xdr:col>20</xdr:col>
      <xdr:colOff>1</xdr:colOff>
      <xdr:row>112</xdr:row>
      <xdr:rowOff>156882</xdr:rowOff>
    </xdr:to>
    <xdr:sp macro="" textlink="">
      <xdr:nvSpPr>
        <xdr:cNvPr id="7" name="Tekstvak 6">
          <a:extLst>
            <a:ext uri="{FF2B5EF4-FFF2-40B4-BE49-F238E27FC236}">
              <a16:creationId xmlns:a16="http://schemas.microsoft.com/office/drawing/2014/main" id="{D6842E48-9E9D-4BD9-A476-29F445779EB0}"/>
            </a:ext>
          </a:extLst>
        </xdr:cNvPr>
        <xdr:cNvSpPr txBox="1"/>
      </xdr:nvSpPr>
      <xdr:spPr>
        <a:xfrm>
          <a:off x="6813177" y="14986000"/>
          <a:ext cx="7261412" cy="31152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nl-NL" sz="1000" b="0" i="1">
              <a:solidFill>
                <a:schemeClr val="dk1"/>
              </a:solidFill>
              <a:effectLst/>
              <a:latin typeface="+mn-lt"/>
              <a:ea typeface="+mn-ea"/>
              <a:cs typeface="+mn-cs"/>
            </a:rPr>
            <a:t>Leerlingen uit een ‘Blijf van mijn lijf huis’ (BVMLH)</a:t>
          </a:r>
          <a:endParaRPr lang="nl-NL" sz="1000" b="1">
            <a:solidFill>
              <a:schemeClr val="dk1"/>
            </a:solidFill>
            <a:effectLst/>
            <a:latin typeface="+mn-lt"/>
            <a:ea typeface="+mn-ea"/>
            <a:cs typeface="+mn-cs"/>
          </a:endParaRPr>
        </a:p>
        <a:p>
          <a:r>
            <a:rPr lang="nl-NL" sz="1000">
              <a:solidFill>
                <a:schemeClr val="dk1"/>
              </a:solidFill>
              <a:effectLst/>
              <a:latin typeface="+mn-lt"/>
              <a:ea typeface="+mn-ea"/>
              <a:cs typeface="+mn-cs"/>
            </a:rPr>
            <a:t>Een bo-school ontvangt op maandbasis aanvullende bekostiging voor kinderen die afkomstig zijn uit BVMLH-en. De drempel voor bekostiging is ten minste 10 nieuw ingeschreven leerlingen uit een BVMLH.</a:t>
          </a:r>
        </a:p>
        <a:p>
          <a:r>
            <a:rPr lang="nl-NL" sz="1000">
              <a:solidFill>
                <a:schemeClr val="dk1"/>
              </a:solidFill>
              <a:effectLst/>
              <a:latin typeface="+mn-lt"/>
              <a:ea typeface="+mn-ea"/>
              <a:cs typeface="+mn-cs"/>
            </a:rPr>
            <a:t> </a:t>
          </a:r>
        </a:p>
        <a:p>
          <a:r>
            <a:rPr lang="nl-NL" sz="1000" b="1">
              <a:solidFill>
                <a:schemeClr val="dk1"/>
              </a:solidFill>
              <a:effectLst/>
              <a:latin typeface="+mn-lt"/>
              <a:ea typeface="+mn-ea"/>
              <a:cs typeface="+mn-cs"/>
            </a:rPr>
            <a:t>Berekening:</a:t>
          </a:r>
          <a:endParaRPr lang="nl-NL" sz="1000">
            <a:solidFill>
              <a:schemeClr val="dk1"/>
            </a:solidFill>
            <a:effectLst/>
            <a:latin typeface="+mn-lt"/>
            <a:ea typeface="+mn-ea"/>
            <a:cs typeface="+mn-cs"/>
          </a:endParaRPr>
        </a:p>
        <a:p>
          <a:pPr marL="171450" indent="-171450">
            <a:buFont typeface="Arial" panose="020B0604020202020204" pitchFamily="34" charset="0"/>
            <a:buChar char="•"/>
          </a:pPr>
          <a:r>
            <a:rPr lang="nl-NL" sz="1000">
              <a:solidFill>
                <a:schemeClr val="dk1"/>
              </a:solidFill>
              <a:effectLst/>
              <a:latin typeface="+mn-lt"/>
              <a:ea typeface="+mn-ea"/>
              <a:cs typeface="+mn-cs"/>
            </a:rPr>
            <a:t>Aanvullende bekostiging BVMLH-leerlingen= Aantal BVMLH-leerlingen x bedrag / 12 x aantal maanden toekenning</a:t>
          </a:r>
        </a:p>
        <a:p>
          <a:pPr marL="171450" indent="-171450">
            <a:buFont typeface="Arial" panose="020B0604020202020204" pitchFamily="34" charset="0"/>
            <a:buChar char="•"/>
          </a:pPr>
          <a:r>
            <a:rPr lang="nl-NL" sz="1000">
              <a:effectLst/>
              <a:latin typeface="+mn-lt"/>
            </a:rPr>
            <a:t>De school dient een aanvraag in bij DUO om in aanmerking te komen voor de aanvullende bekostiging. De ingangsdatum van de aanvullende bekostiging is de maand na ontvangst van de aanvraag. Uitzondering hierop is januari; als een aanvraag in die maand wordt ingediend, dan is de ingangsdatum van de bekostiging ook januari. Een aanvraag moet voor 1 december van het bekostigingsjaar zijn ontvangen. </a:t>
          </a:r>
          <a:r>
            <a:rPr lang="nl-NL" sz="1000">
              <a:solidFill>
                <a:schemeClr val="dk1"/>
              </a:solidFill>
              <a:effectLst/>
              <a:latin typeface="+mn-lt"/>
              <a:ea typeface="+mn-ea"/>
              <a:cs typeface="+mn-cs"/>
            </a:rPr>
            <a:t> </a:t>
          </a:r>
        </a:p>
        <a:p>
          <a:endParaRPr lang="nl-NL" sz="1000">
            <a:latin typeface="+mn-lt"/>
          </a:endParaRP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aad.nl/werkgeverschap/financien/vereenvoudiging-bekostiging" TargetMode="External"/><Relationship Id="rId1" Type="http://schemas.openxmlformats.org/officeDocument/2006/relationships/hyperlink" Target="https://www.rijksoverheid.nl/onderwerpen/financiering-onderwijs/financiering-primair-onderwijs/vereenvoudiging-bekostiging-primair-onderwij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ijksoverheid.nl/documenten/publicaties/2022/03/31/herverdeeleffectenmodel-en-totstandkoming-bedragen-voor-de-vereenvoudiging-bekostiging-po" TargetMode="External"/><Relationship Id="rId1" Type="http://schemas.openxmlformats.org/officeDocument/2006/relationships/hyperlink" Target="https://www.rijksoverheid.nl/documenten/publicaties/2022/03/31/herverdeeleffectenmodel-en-totstandkoming-bedragen-voor-de-vereenvoudiging-bekostiging-p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7.bin"/><Relationship Id="rId1" Type="http://schemas.openxmlformats.org/officeDocument/2006/relationships/hyperlink" Target="https://zoek.officielebekendmakingen.nl/stcrt-2022-27684.pdf" TargetMode="Externa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C2DF0-04A1-4AF8-BEE0-432136E5F08C}">
  <sheetPr>
    <tabColor theme="5" tint="0.79998168889431442"/>
    <pageSetUpPr fitToPage="1"/>
  </sheetPr>
  <dimension ref="A1:L34"/>
  <sheetViews>
    <sheetView zoomScale="85" zoomScaleNormal="85" workbookViewId="0">
      <selection activeCell="J12" sqref="J12"/>
    </sheetView>
  </sheetViews>
  <sheetFormatPr defaultRowHeight="12.95" customHeight="1" x14ac:dyDescent="0.25"/>
  <cols>
    <col min="1" max="1" width="2.85546875" customWidth="1"/>
    <col min="2" max="2" width="103.7109375" customWidth="1"/>
    <col min="3" max="3" width="3.5703125" customWidth="1"/>
  </cols>
  <sheetData>
    <row r="1" spans="1:2" ht="12.95" customHeight="1" x14ac:dyDescent="0.25">
      <c r="A1" t="s">
        <v>0</v>
      </c>
    </row>
    <row r="2" spans="1:2" ht="12.95" customHeight="1" x14ac:dyDescent="0.25">
      <c r="A2" s="1"/>
      <c r="B2" s="8" t="s">
        <v>1</v>
      </c>
    </row>
    <row r="3" spans="1:2" ht="12.95" customHeight="1" x14ac:dyDescent="0.25">
      <c r="B3" s="47" t="s">
        <v>2</v>
      </c>
    </row>
    <row r="4" spans="1:2" ht="12.95" customHeight="1" x14ac:dyDescent="0.25">
      <c r="B4" s="41"/>
    </row>
    <row r="5" spans="1:2" ht="30" customHeight="1" x14ac:dyDescent="0.25">
      <c r="B5" s="44" t="s">
        <v>3</v>
      </c>
    </row>
    <row r="6" spans="1:2" ht="15" customHeight="1" x14ac:dyDescent="0.25">
      <c r="B6" s="44"/>
    </row>
    <row r="7" spans="1:2" ht="15" customHeight="1" x14ac:dyDescent="0.25">
      <c r="B7" s="44" t="s">
        <v>4</v>
      </c>
    </row>
    <row r="8" spans="1:2" ht="30" customHeight="1" x14ac:dyDescent="0.25">
      <c r="B8" s="45" t="s">
        <v>5</v>
      </c>
    </row>
    <row r="9" spans="1:2" ht="15" customHeight="1" x14ac:dyDescent="0.25">
      <c r="B9" s="44" t="s">
        <v>6</v>
      </c>
    </row>
    <row r="10" spans="1:2" ht="15" customHeight="1" x14ac:dyDescent="0.25">
      <c r="B10" s="43" t="s">
        <v>7</v>
      </c>
    </row>
    <row r="11" spans="1:2" ht="15" customHeight="1" x14ac:dyDescent="0.25">
      <c r="B11" s="45"/>
    </row>
    <row r="12" spans="1:2" ht="45" customHeight="1" x14ac:dyDescent="0.25">
      <c r="B12" s="44" t="s">
        <v>8</v>
      </c>
    </row>
    <row r="13" spans="1:2" ht="15" customHeight="1" x14ac:dyDescent="0.25">
      <c r="B13" s="44" t="s">
        <v>9</v>
      </c>
    </row>
    <row r="14" spans="1:2" ht="30" customHeight="1" x14ac:dyDescent="0.25">
      <c r="B14" s="44" t="s">
        <v>10</v>
      </c>
    </row>
    <row r="15" spans="1:2" ht="15" customHeight="1" x14ac:dyDescent="0.25">
      <c r="B15" s="44"/>
    </row>
    <row r="16" spans="1:2" ht="30" customHeight="1" x14ac:dyDescent="0.25">
      <c r="B16" s="44" t="s">
        <v>11</v>
      </c>
    </row>
    <row r="17" spans="2:12" ht="30" customHeight="1" x14ac:dyDescent="0.25">
      <c r="B17" s="44" t="s">
        <v>12</v>
      </c>
    </row>
    <row r="18" spans="2:12" ht="15" customHeight="1" x14ac:dyDescent="0.25">
      <c r="B18" s="44"/>
    </row>
    <row r="19" spans="2:12" ht="30" customHeight="1" x14ac:dyDescent="0.25">
      <c r="B19" s="44" t="s">
        <v>13</v>
      </c>
    </row>
    <row r="20" spans="2:12" ht="15" customHeight="1" x14ac:dyDescent="0.25">
      <c r="B20" s="44"/>
    </row>
    <row r="21" spans="2:12" ht="30" customHeight="1" x14ac:dyDescent="0.25">
      <c r="B21" s="44" t="s">
        <v>14</v>
      </c>
    </row>
    <row r="22" spans="2:12" ht="15" customHeight="1" x14ac:dyDescent="0.25">
      <c r="B22" s="44"/>
      <c r="L22" s="43"/>
    </row>
    <row r="23" spans="2:12" ht="15" customHeight="1" x14ac:dyDescent="0.25">
      <c r="B23" s="44"/>
    </row>
    <row r="24" spans="2:12" ht="15" customHeight="1" x14ac:dyDescent="0.25">
      <c r="B24" s="44"/>
    </row>
    <row r="25" spans="2:12" ht="12.95" customHeight="1" x14ac:dyDescent="0.25">
      <c r="B25" s="44"/>
    </row>
    <row r="26" spans="2:12" ht="12.95" customHeight="1" x14ac:dyDescent="0.25">
      <c r="B26" s="44"/>
    </row>
    <row r="27" spans="2:12" ht="12.95" customHeight="1" x14ac:dyDescent="0.25">
      <c r="B27" s="44"/>
    </row>
    <row r="28" spans="2:12" ht="12.95" customHeight="1" x14ac:dyDescent="0.25">
      <c r="B28" s="44"/>
    </row>
    <row r="29" spans="2:12" ht="12.95" customHeight="1" x14ac:dyDescent="0.25">
      <c r="B29" s="44"/>
    </row>
    <row r="30" spans="2:12" ht="12.95" customHeight="1" x14ac:dyDescent="0.25">
      <c r="B30" s="44"/>
    </row>
    <row r="31" spans="2:12" ht="12.95" customHeight="1" x14ac:dyDescent="0.25">
      <c r="B31" s="44"/>
    </row>
    <row r="32" spans="2:12" ht="12.95" customHeight="1" x14ac:dyDescent="0.25">
      <c r="B32" s="44"/>
    </row>
    <row r="33" spans="2:2" ht="12.95" customHeight="1" x14ac:dyDescent="0.25">
      <c r="B33" s="44"/>
    </row>
    <row r="34" spans="2:2" ht="12.95" customHeight="1" x14ac:dyDescent="0.25">
      <c r="B34" s="44"/>
    </row>
  </sheetData>
  <sheetProtection sheet="1" objects="1" scenarios="1"/>
  <hyperlinks>
    <hyperlink ref="B8" r:id="rId1" xr:uid="{94CD886C-4AF3-4183-A03E-2D584B1B0D86}"/>
    <hyperlink ref="B10" r:id="rId2" xr:uid="{7DDD3731-EAA5-4491-8762-D259F0BB06AD}"/>
  </hyperlinks>
  <pageMargins left="0.7" right="0.7" top="0.75" bottom="0.75" header="0.3" footer="0.3"/>
  <pageSetup paperSize="9" scale="7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C2EDF-BD21-4BCA-A295-41CB500D431C}">
  <sheetPr>
    <tabColor rgb="FFFFFFCC"/>
  </sheetPr>
  <dimension ref="A1:AJ66"/>
  <sheetViews>
    <sheetView zoomScale="90" zoomScaleNormal="90" workbookViewId="0">
      <selection activeCell="E2" sqref="E2"/>
    </sheetView>
  </sheetViews>
  <sheetFormatPr defaultColWidth="8.7109375" defaultRowHeight="12.75" x14ac:dyDescent="0.2"/>
  <cols>
    <col min="1" max="2" width="2.5703125" style="1" customWidth="1"/>
    <col min="3" max="3" width="55.7109375" style="1" customWidth="1"/>
    <col min="4" max="4" width="1" style="1" customWidth="1"/>
    <col min="5" max="5" width="12.7109375" style="3" customWidth="1"/>
    <col min="6" max="6" width="1" style="1" customWidth="1"/>
    <col min="7" max="7" width="16.28515625" style="2" bestFit="1" customWidth="1"/>
    <col min="8" max="26" width="12.7109375" style="2" customWidth="1"/>
    <col min="27" max="28" width="2.5703125" style="1" customWidth="1"/>
    <col min="29" max="59" width="8.5703125" style="1" customWidth="1"/>
    <col min="60" max="16384" width="8.7109375" style="1"/>
  </cols>
  <sheetData>
    <row r="1" spans="1:29" x14ac:dyDescent="0.2">
      <c r="A1" s="159"/>
      <c r="B1" s="159"/>
      <c r="C1" s="159"/>
      <c r="D1" s="159"/>
      <c r="E1" s="174"/>
      <c r="F1" s="159"/>
      <c r="G1" s="178"/>
      <c r="H1" s="178"/>
      <c r="I1" s="178"/>
      <c r="J1" s="178"/>
      <c r="K1" s="178"/>
      <c r="L1" s="178"/>
      <c r="M1" s="178"/>
      <c r="N1" s="178"/>
      <c r="O1" s="178"/>
      <c r="P1" s="178"/>
      <c r="Q1" s="178"/>
      <c r="R1" s="178"/>
      <c r="S1" s="178"/>
      <c r="T1" s="178"/>
      <c r="U1" s="178"/>
      <c r="V1" s="178"/>
      <c r="W1" s="178"/>
      <c r="X1" s="178"/>
      <c r="Y1" s="178"/>
      <c r="Z1" s="178"/>
      <c r="AA1" s="159"/>
      <c r="AB1" s="159"/>
      <c r="AC1" s="159"/>
    </row>
    <row r="2" spans="1:29" ht="15.75" x14ac:dyDescent="0.25">
      <c r="A2" s="159"/>
      <c r="B2" s="192" t="str">
        <f>_xlfn.CONCAT("BEREKENING OVERGANGSREGELING O.B.V.  ",tab!B2-1)</f>
        <v>BEREKENING OVERGANGSREGELING O.B.V.  2023</v>
      </c>
      <c r="C2" s="192"/>
      <c r="D2" s="159"/>
      <c r="E2" s="174"/>
      <c r="F2" s="159"/>
      <c r="G2" s="193"/>
      <c r="H2" s="193"/>
      <c r="I2" s="193"/>
      <c r="J2" s="193"/>
      <c r="K2" s="193"/>
      <c r="L2" s="193"/>
      <c r="M2" s="193"/>
      <c r="N2" s="193"/>
      <c r="O2" s="193"/>
      <c r="P2" s="193"/>
      <c r="Q2" s="193"/>
      <c r="R2" s="193"/>
      <c r="S2" s="193"/>
      <c r="T2" s="193"/>
      <c r="U2" s="193"/>
      <c r="V2" s="193"/>
      <c r="W2" s="193"/>
      <c r="X2" s="193"/>
      <c r="Y2" s="193"/>
      <c r="Z2" s="193"/>
      <c r="AA2" s="159"/>
      <c r="AB2" s="159"/>
      <c r="AC2" s="159"/>
    </row>
    <row r="3" spans="1:29" ht="15.75" x14ac:dyDescent="0.25">
      <c r="A3" s="159"/>
      <c r="B3" s="160"/>
      <c r="C3" s="159"/>
      <c r="D3" s="159"/>
      <c r="E3" s="174"/>
      <c r="F3" s="159"/>
      <c r="G3" s="193"/>
      <c r="H3" s="193"/>
      <c r="I3" s="193"/>
      <c r="J3" s="193"/>
      <c r="K3" s="193"/>
      <c r="L3" s="193"/>
      <c r="M3" s="193"/>
      <c r="N3" s="193"/>
      <c r="O3" s="193"/>
      <c r="P3" s="193"/>
      <c r="Q3" s="193"/>
      <c r="R3" s="193"/>
      <c r="S3" s="193"/>
      <c r="T3" s="193"/>
      <c r="U3" s="193"/>
      <c r="V3" s="193"/>
      <c r="W3" s="193"/>
      <c r="X3" s="193"/>
      <c r="Y3" s="193"/>
      <c r="Z3" s="193"/>
      <c r="AA3" s="159"/>
      <c r="AB3" s="159"/>
      <c r="AC3" s="159"/>
    </row>
    <row r="4" spans="1:29" x14ac:dyDescent="0.2">
      <c r="A4" s="159"/>
      <c r="B4" s="159"/>
      <c r="C4" s="159"/>
      <c r="D4" s="159"/>
      <c r="E4" s="174"/>
      <c r="F4" s="159"/>
      <c r="G4" s="178"/>
      <c r="H4" s="178"/>
      <c r="I4" s="178"/>
      <c r="J4" s="178"/>
      <c r="K4" s="178"/>
      <c r="L4" s="178"/>
      <c r="M4" s="178"/>
      <c r="N4" s="178"/>
      <c r="O4" s="178"/>
      <c r="P4" s="178"/>
      <c r="Q4" s="178"/>
      <c r="R4" s="178"/>
      <c r="S4" s="178"/>
      <c r="T4" s="178"/>
      <c r="U4" s="178"/>
      <c r="V4" s="178"/>
      <c r="W4" s="178"/>
      <c r="X4" s="178"/>
      <c r="Y4" s="178"/>
      <c r="Z4" s="178"/>
      <c r="AA4" s="159"/>
      <c r="AB4" s="159"/>
      <c r="AC4" s="159"/>
    </row>
    <row r="5" spans="1:29" x14ac:dyDescent="0.2">
      <c r="A5" s="159"/>
      <c r="B5" s="194"/>
      <c r="C5" s="195"/>
      <c r="D5" s="195"/>
      <c r="E5" s="196"/>
      <c r="F5" s="195"/>
      <c r="G5" s="197"/>
      <c r="H5" s="197"/>
      <c r="I5" s="197"/>
      <c r="J5" s="197"/>
      <c r="K5" s="197"/>
      <c r="L5" s="197"/>
      <c r="M5" s="197"/>
      <c r="N5" s="197"/>
      <c r="O5" s="197"/>
      <c r="P5" s="197"/>
      <c r="Q5" s="197"/>
      <c r="R5" s="197"/>
      <c r="S5" s="197"/>
      <c r="T5" s="197"/>
      <c r="U5" s="197"/>
      <c r="V5" s="197"/>
      <c r="W5" s="197"/>
      <c r="X5" s="197"/>
      <c r="Y5" s="197"/>
      <c r="Z5" s="197"/>
      <c r="AA5" s="198"/>
      <c r="AB5" s="159"/>
      <c r="AC5" s="159"/>
    </row>
    <row r="6" spans="1:29" ht="12.95" customHeight="1" x14ac:dyDescent="0.2">
      <c r="A6" s="159"/>
      <c r="B6" s="199"/>
      <c r="C6" s="159" t="s">
        <v>15</v>
      </c>
      <c r="D6" s="159"/>
      <c r="E6" s="115" t="s">
        <v>16</v>
      </c>
      <c r="F6" s="159"/>
      <c r="G6" s="136">
        <v>1</v>
      </c>
      <c r="H6" s="136">
        <v>2</v>
      </c>
      <c r="I6" s="136">
        <v>3</v>
      </c>
      <c r="J6" s="136">
        <v>4</v>
      </c>
      <c r="K6" s="136">
        <v>5</v>
      </c>
      <c r="L6" s="136">
        <v>6</v>
      </c>
      <c r="M6" s="136">
        <v>7</v>
      </c>
      <c r="N6" s="136">
        <v>8</v>
      </c>
      <c r="O6" s="136">
        <v>9</v>
      </c>
      <c r="P6" s="136">
        <v>10</v>
      </c>
      <c r="Q6" s="136">
        <v>11</v>
      </c>
      <c r="R6" s="136">
        <v>12</v>
      </c>
      <c r="S6" s="136">
        <v>13</v>
      </c>
      <c r="T6" s="136">
        <v>14</v>
      </c>
      <c r="U6" s="136"/>
      <c r="V6" s="136"/>
      <c r="W6" s="136"/>
      <c r="X6" s="136"/>
      <c r="Y6" s="136"/>
      <c r="Z6" s="136"/>
      <c r="AA6" s="200"/>
      <c r="AB6" s="159"/>
      <c r="AC6" s="159"/>
    </row>
    <row r="7" spans="1:29" ht="12.95" customHeight="1" x14ac:dyDescent="0.2">
      <c r="A7" s="159"/>
      <c r="B7" s="199"/>
      <c r="C7" s="159" t="s">
        <v>17</v>
      </c>
      <c r="D7" s="159"/>
      <c r="E7" s="135"/>
      <c r="F7" s="159"/>
      <c r="G7" s="135" t="s">
        <v>18</v>
      </c>
      <c r="H7" s="135" t="s">
        <v>18</v>
      </c>
      <c r="I7" s="135" t="s">
        <v>18</v>
      </c>
      <c r="J7" s="135" t="s">
        <v>18</v>
      </c>
      <c r="K7" s="135" t="s">
        <v>18</v>
      </c>
      <c r="L7" s="135" t="s">
        <v>18</v>
      </c>
      <c r="M7" s="135" t="s">
        <v>18</v>
      </c>
      <c r="N7" s="135" t="s">
        <v>18</v>
      </c>
      <c r="O7" s="135" t="s">
        <v>18</v>
      </c>
      <c r="P7" s="135" t="s">
        <v>18</v>
      </c>
      <c r="Q7" s="135" t="s">
        <v>18</v>
      </c>
      <c r="R7" s="135" t="s">
        <v>18</v>
      </c>
      <c r="S7" s="135" t="s">
        <v>18</v>
      </c>
      <c r="T7" s="135" t="s">
        <v>18</v>
      </c>
      <c r="U7" s="135"/>
      <c r="V7" s="135"/>
      <c r="W7" s="135"/>
      <c r="X7" s="135"/>
      <c r="Y7" s="135"/>
      <c r="Z7" s="135"/>
      <c r="AA7" s="200"/>
      <c r="AB7" s="159"/>
      <c r="AC7" s="159"/>
    </row>
    <row r="8" spans="1:29" x14ac:dyDescent="0.2">
      <c r="A8" s="159"/>
      <c r="B8" s="199"/>
      <c r="C8" s="159"/>
      <c r="D8" s="159"/>
      <c r="E8" s="174"/>
      <c r="F8" s="159"/>
      <c r="G8" s="178"/>
      <c r="H8" s="178"/>
      <c r="I8" s="178"/>
      <c r="J8" s="178"/>
      <c r="K8" s="178"/>
      <c r="L8" s="178"/>
      <c r="M8" s="178"/>
      <c r="N8" s="178"/>
      <c r="O8" s="178"/>
      <c r="P8" s="178"/>
      <c r="Q8" s="178"/>
      <c r="R8" s="178"/>
      <c r="S8" s="178"/>
      <c r="T8" s="178"/>
      <c r="U8" s="178"/>
      <c r="V8" s="178"/>
      <c r="W8" s="178"/>
      <c r="X8" s="178"/>
      <c r="Y8" s="178"/>
      <c r="Z8" s="178"/>
      <c r="AA8" s="200"/>
      <c r="AB8" s="159"/>
      <c r="AC8" s="159"/>
    </row>
    <row r="9" spans="1:29" x14ac:dyDescent="0.2">
      <c r="A9" s="159"/>
      <c r="B9" s="199"/>
      <c r="C9" s="174" t="s">
        <v>19</v>
      </c>
      <c r="D9" s="159"/>
      <c r="E9" s="172"/>
      <c r="F9" s="159"/>
      <c r="G9" s="172"/>
      <c r="H9" s="172"/>
      <c r="I9" s="172"/>
      <c r="J9" s="172"/>
      <c r="K9" s="172"/>
      <c r="L9" s="172"/>
      <c r="M9" s="172"/>
      <c r="N9" s="172"/>
      <c r="O9" s="172"/>
      <c r="P9" s="172"/>
      <c r="Q9" s="172"/>
      <c r="R9" s="172"/>
      <c r="S9" s="172"/>
      <c r="T9" s="172"/>
      <c r="U9" s="172"/>
      <c r="V9" s="172"/>
      <c r="W9" s="172"/>
      <c r="X9" s="172"/>
      <c r="Y9" s="172"/>
      <c r="Z9" s="172"/>
      <c r="AA9" s="200"/>
      <c r="AB9" s="159"/>
      <c r="AC9" s="159"/>
    </row>
    <row r="10" spans="1:29" x14ac:dyDescent="0.2">
      <c r="A10" s="159"/>
      <c r="B10" s="199"/>
      <c r="C10" s="159" t="s">
        <v>203</v>
      </c>
      <c r="D10" s="159"/>
      <c r="E10" s="201">
        <f t="shared" ref="E10:E15" si="0">SUM(G10:Z10)</f>
        <v>0</v>
      </c>
      <c r="F10" s="159"/>
      <c r="G10" s="60">
        <v>0</v>
      </c>
      <c r="H10" s="60">
        <v>0</v>
      </c>
      <c r="I10" s="60">
        <v>0</v>
      </c>
      <c r="J10" s="60">
        <v>0</v>
      </c>
      <c r="K10" s="60">
        <v>0</v>
      </c>
      <c r="L10" s="60">
        <v>0</v>
      </c>
      <c r="M10" s="60">
        <v>0</v>
      </c>
      <c r="N10" s="60">
        <v>0</v>
      </c>
      <c r="O10" s="60">
        <v>0</v>
      </c>
      <c r="P10" s="60">
        <v>0</v>
      </c>
      <c r="Q10" s="60">
        <v>0</v>
      </c>
      <c r="R10" s="60">
        <v>0</v>
      </c>
      <c r="S10" s="60">
        <v>0</v>
      </c>
      <c r="T10" s="60">
        <v>0</v>
      </c>
      <c r="U10" s="60">
        <v>0</v>
      </c>
      <c r="V10" s="60">
        <v>0</v>
      </c>
      <c r="W10" s="60">
        <v>0</v>
      </c>
      <c r="X10" s="60">
        <v>0</v>
      </c>
      <c r="Y10" s="60">
        <v>0</v>
      </c>
      <c r="Z10" s="60">
        <v>0</v>
      </c>
      <c r="AA10" s="200"/>
      <c r="AB10" s="159"/>
      <c r="AC10" s="159"/>
    </row>
    <row r="11" spans="1:29" x14ac:dyDescent="0.2">
      <c r="A11" s="159"/>
      <c r="B11" s="199"/>
      <c r="C11" s="159" t="s">
        <v>202</v>
      </c>
      <c r="D11" s="159"/>
      <c r="E11" s="201">
        <f t="shared" si="0"/>
        <v>0</v>
      </c>
      <c r="F11" s="159"/>
      <c r="G11" s="62">
        <v>0</v>
      </c>
      <c r="H11" s="62">
        <v>0</v>
      </c>
      <c r="I11" s="62">
        <v>0</v>
      </c>
      <c r="J11" s="62">
        <v>0</v>
      </c>
      <c r="K11" s="62">
        <v>0</v>
      </c>
      <c r="L11" s="62">
        <v>0</v>
      </c>
      <c r="M11" s="62">
        <v>0</v>
      </c>
      <c r="N11" s="62">
        <v>0</v>
      </c>
      <c r="O11" s="62">
        <v>0</v>
      </c>
      <c r="P11" s="62">
        <v>0</v>
      </c>
      <c r="Q11" s="62">
        <v>0</v>
      </c>
      <c r="R11" s="62">
        <v>0</v>
      </c>
      <c r="S11" s="62">
        <v>0</v>
      </c>
      <c r="T11" s="62">
        <v>0</v>
      </c>
      <c r="U11" s="62">
        <v>0</v>
      </c>
      <c r="V11" s="62">
        <v>0</v>
      </c>
      <c r="W11" s="62">
        <v>0</v>
      </c>
      <c r="X11" s="62">
        <v>0</v>
      </c>
      <c r="Y11" s="62">
        <v>0</v>
      </c>
      <c r="Z11" s="62">
        <v>0</v>
      </c>
      <c r="AA11" s="200"/>
      <c r="AB11" s="159"/>
      <c r="AC11" s="159"/>
    </row>
    <row r="12" spans="1:29" x14ac:dyDescent="0.2">
      <c r="A12" s="159"/>
      <c r="B12" s="199"/>
      <c r="C12" s="159" t="s">
        <v>21</v>
      </c>
      <c r="D12" s="159"/>
      <c r="E12" s="201">
        <f t="shared" si="0"/>
        <v>0</v>
      </c>
      <c r="F12" s="159"/>
      <c r="G12" s="60">
        <v>0</v>
      </c>
      <c r="H12" s="60">
        <v>0</v>
      </c>
      <c r="I12" s="60">
        <v>0</v>
      </c>
      <c r="J12" s="60">
        <v>0</v>
      </c>
      <c r="K12" s="60">
        <v>0</v>
      </c>
      <c r="L12" s="60">
        <v>0</v>
      </c>
      <c r="M12" s="60">
        <v>0</v>
      </c>
      <c r="N12" s="60">
        <v>0</v>
      </c>
      <c r="O12" s="60">
        <v>0</v>
      </c>
      <c r="P12" s="60">
        <v>0</v>
      </c>
      <c r="Q12" s="60">
        <v>0</v>
      </c>
      <c r="R12" s="60">
        <v>0</v>
      </c>
      <c r="S12" s="60">
        <v>0</v>
      </c>
      <c r="T12" s="60">
        <v>0</v>
      </c>
      <c r="U12" s="60">
        <v>0</v>
      </c>
      <c r="V12" s="60">
        <v>0</v>
      </c>
      <c r="W12" s="60">
        <v>0</v>
      </c>
      <c r="X12" s="60">
        <v>0</v>
      </c>
      <c r="Y12" s="60">
        <v>0</v>
      </c>
      <c r="Z12" s="60">
        <v>0</v>
      </c>
      <c r="AA12" s="200"/>
      <c r="AB12" s="159"/>
      <c r="AC12" s="159"/>
    </row>
    <row r="13" spans="1:29" x14ac:dyDescent="0.2">
      <c r="A13" s="159"/>
      <c r="B13" s="199"/>
      <c r="C13" s="159" t="s">
        <v>22</v>
      </c>
      <c r="D13" s="159"/>
      <c r="E13" s="201">
        <f t="shared" si="0"/>
        <v>0</v>
      </c>
      <c r="F13" s="159"/>
      <c r="G13" s="60">
        <v>0</v>
      </c>
      <c r="H13" s="60">
        <v>0</v>
      </c>
      <c r="I13" s="60">
        <v>0</v>
      </c>
      <c r="J13" s="60">
        <v>0</v>
      </c>
      <c r="K13" s="60">
        <v>0</v>
      </c>
      <c r="L13" s="60">
        <v>0</v>
      </c>
      <c r="M13" s="60">
        <v>0</v>
      </c>
      <c r="N13" s="60">
        <v>0</v>
      </c>
      <c r="O13" s="60">
        <v>0</v>
      </c>
      <c r="P13" s="60">
        <v>0</v>
      </c>
      <c r="Q13" s="60">
        <v>0</v>
      </c>
      <c r="R13" s="60">
        <v>0</v>
      </c>
      <c r="S13" s="60">
        <v>0</v>
      </c>
      <c r="T13" s="60">
        <v>0</v>
      </c>
      <c r="U13" s="60">
        <v>0</v>
      </c>
      <c r="V13" s="60">
        <v>0</v>
      </c>
      <c r="W13" s="60">
        <v>0</v>
      </c>
      <c r="X13" s="60">
        <v>0</v>
      </c>
      <c r="Y13" s="60">
        <v>0</v>
      </c>
      <c r="Z13" s="60">
        <v>0</v>
      </c>
      <c r="AA13" s="200"/>
      <c r="AB13" s="159"/>
      <c r="AC13" s="159"/>
    </row>
    <row r="14" spans="1:29" x14ac:dyDescent="0.2">
      <c r="A14" s="159"/>
      <c r="B14" s="199"/>
      <c r="C14" s="159" t="s">
        <v>23</v>
      </c>
      <c r="D14" s="159"/>
      <c r="E14" s="201">
        <f t="shared" si="0"/>
        <v>0</v>
      </c>
      <c r="F14" s="159"/>
      <c r="G14" s="60">
        <v>0</v>
      </c>
      <c r="H14" s="60">
        <v>0</v>
      </c>
      <c r="I14" s="60">
        <v>0</v>
      </c>
      <c r="J14" s="60">
        <v>0</v>
      </c>
      <c r="K14" s="60">
        <v>0</v>
      </c>
      <c r="L14" s="60">
        <v>0</v>
      </c>
      <c r="M14" s="60">
        <v>0</v>
      </c>
      <c r="N14" s="60">
        <v>0</v>
      </c>
      <c r="O14" s="60">
        <v>0</v>
      </c>
      <c r="P14" s="60">
        <v>0</v>
      </c>
      <c r="Q14" s="60">
        <v>0</v>
      </c>
      <c r="R14" s="60">
        <v>0</v>
      </c>
      <c r="S14" s="60">
        <v>0</v>
      </c>
      <c r="T14" s="60">
        <v>0</v>
      </c>
      <c r="U14" s="60">
        <v>0</v>
      </c>
      <c r="V14" s="60">
        <v>0</v>
      </c>
      <c r="W14" s="60">
        <v>0</v>
      </c>
      <c r="X14" s="60">
        <v>0</v>
      </c>
      <c r="Y14" s="60">
        <v>0</v>
      </c>
      <c r="Z14" s="60">
        <v>0</v>
      </c>
      <c r="AA14" s="200"/>
      <c r="AB14" s="159"/>
      <c r="AC14" s="159"/>
    </row>
    <row r="15" spans="1:29" x14ac:dyDescent="0.2">
      <c r="A15" s="159"/>
      <c r="B15" s="199"/>
      <c r="C15" s="159" t="s">
        <v>24</v>
      </c>
      <c r="D15" s="159"/>
      <c r="E15" s="201">
        <f t="shared" si="0"/>
        <v>0</v>
      </c>
      <c r="F15" s="159"/>
      <c r="G15" s="60">
        <v>0</v>
      </c>
      <c r="H15" s="60">
        <v>0</v>
      </c>
      <c r="I15" s="60">
        <v>0</v>
      </c>
      <c r="J15" s="60">
        <v>0</v>
      </c>
      <c r="K15" s="60">
        <v>0</v>
      </c>
      <c r="L15" s="60">
        <v>0</v>
      </c>
      <c r="M15" s="60">
        <v>0</v>
      </c>
      <c r="N15" s="60">
        <v>0</v>
      </c>
      <c r="O15" s="60">
        <v>0</v>
      </c>
      <c r="P15" s="60">
        <v>0</v>
      </c>
      <c r="Q15" s="60">
        <v>0</v>
      </c>
      <c r="R15" s="60">
        <v>0</v>
      </c>
      <c r="S15" s="60">
        <v>0</v>
      </c>
      <c r="T15" s="60">
        <v>0</v>
      </c>
      <c r="U15" s="60">
        <v>0</v>
      </c>
      <c r="V15" s="60">
        <v>0</v>
      </c>
      <c r="W15" s="60">
        <v>0</v>
      </c>
      <c r="X15" s="60">
        <v>0</v>
      </c>
      <c r="Y15" s="60">
        <v>0</v>
      </c>
      <c r="Z15" s="60">
        <v>0</v>
      </c>
      <c r="AA15" s="200"/>
      <c r="AB15" s="159"/>
      <c r="AC15" s="159"/>
    </row>
    <row r="16" spans="1:29" x14ac:dyDescent="0.2">
      <c r="A16" s="159"/>
      <c r="B16" s="199"/>
      <c r="C16" s="159"/>
      <c r="D16" s="159"/>
      <c r="E16" s="172"/>
      <c r="F16" s="159"/>
      <c r="G16" s="170"/>
      <c r="H16" s="170"/>
      <c r="I16" s="170"/>
      <c r="J16" s="170"/>
      <c r="K16" s="170"/>
      <c r="L16" s="170"/>
      <c r="M16" s="170"/>
      <c r="N16" s="170"/>
      <c r="O16" s="170"/>
      <c r="P16" s="170"/>
      <c r="Q16" s="170"/>
      <c r="R16" s="170"/>
      <c r="S16" s="170"/>
      <c r="T16" s="170"/>
      <c r="U16" s="170"/>
      <c r="V16" s="170"/>
      <c r="W16" s="170"/>
      <c r="X16" s="170"/>
      <c r="Y16" s="170"/>
      <c r="Z16" s="170"/>
      <c r="AA16" s="200"/>
      <c r="AB16" s="159"/>
      <c r="AC16" s="159"/>
    </row>
    <row r="17" spans="1:30" x14ac:dyDescent="0.2">
      <c r="A17" s="159"/>
      <c r="B17" s="199"/>
      <c r="C17" s="174" t="s">
        <v>25</v>
      </c>
      <c r="D17" s="174"/>
      <c r="E17" s="179"/>
      <c r="F17" s="174"/>
      <c r="G17" s="178"/>
      <c r="H17" s="178"/>
      <c r="I17" s="178"/>
      <c r="J17" s="178"/>
      <c r="K17" s="178"/>
      <c r="L17" s="178"/>
      <c r="M17" s="178"/>
      <c r="N17" s="178"/>
      <c r="O17" s="178"/>
      <c r="P17" s="178"/>
      <c r="Q17" s="178"/>
      <c r="R17" s="178"/>
      <c r="S17" s="178"/>
      <c r="T17" s="178"/>
      <c r="U17" s="178"/>
      <c r="V17" s="178"/>
      <c r="W17" s="178"/>
      <c r="X17" s="178"/>
      <c r="Y17" s="178"/>
      <c r="Z17" s="178"/>
      <c r="AA17" s="200"/>
      <c r="AB17" s="159"/>
      <c r="AC17" s="159"/>
    </row>
    <row r="18" spans="1:30" x14ac:dyDescent="0.2">
      <c r="A18" s="159"/>
      <c r="B18" s="199"/>
      <c r="C18" s="159" t="s">
        <v>26</v>
      </c>
      <c r="D18" s="159"/>
      <c r="E18" s="202">
        <f>SUM(G18:Z18)</f>
        <v>0</v>
      </c>
      <c r="F18" s="159"/>
      <c r="G18" s="203">
        <f>(G10*tab!$J8)</f>
        <v>0</v>
      </c>
      <c r="H18" s="203">
        <f>(H10*tab!$J8)</f>
        <v>0</v>
      </c>
      <c r="I18" s="203">
        <f>(I10*tab!$J8)</f>
        <v>0</v>
      </c>
      <c r="J18" s="203">
        <f>(J10*tab!$J8)</f>
        <v>0</v>
      </c>
      <c r="K18" s="203">
        <f>(K10*tab!$J8)</f>
        <v>0</v>
      </c>
      <c r="L18" s="203">
        <f>(L10*tab!$J8)</f>
        <v>0</v>
      </c>
      <c r="M18" s="203">
        <f>(M10*tab!$J8)</f>
        <v>0</v>
      </c>
      <c r="N18" s="203">
        <f>(N10*tab!$J8)</f>
        <v>0</v>
      </c>
      <c r="O18" s="203">
        <f>(O10*tab!$J8)</f>
        <v>0</v>
      </c>
      <c r="P18" s="203">
        <f>(P10*tab!$J8)</f>
        <v>0</v>
      </c>
      <c r="Q18" s="203">
        <f>(Q10*tab!$J8)</f>
        <v>0</v>
      </c>
      <c r="R18" s="203">
        <f>(R10*tab!$J8)</f>
        <v>0</v>
      </c>
      <c r="S18" s="203">
        <f>(S10*tab!$J8)</f>
        <v>0</v>
      </c>
      <c r="T18" s="203">
        <f>(T10*tab!$J8)</f>
        <v>0</v>
      </c>
      <c r="U18" s="203">
        <f>(U10*tab!$J8)</f>
        <v>0</v>
      </c>
      <c r="V18" s="203">
        <f>(V10*tab!$J8)</f>
        <v>0</v>
      </c>
      <c r="W18" s="203">
        <f>(W10*tab!$J8)</f>
        <v>0</v>
      </c>
      <c r="X18" s="203">
        <f>(X10*tab!$J8)</f>
        <v>0</v>
      </c>
      <c r="Y18" s="203">
        <f>(Y10*tab!$J8)</f>
        <v>0</v>
      </c>
      <c r="Z18" s="203">
        <f>(Z10*tab!$J8)</f>
        <v>0</v>
      </c>
      <c r="AA18" s="200"/>
      <c r="AB18" s="159"/>
      <c r="AC18" s="204"/>
      <c r="AD18" s="7"/>
    </row>
    <row r="19" spans="1:30" x14ac:dyDescent="0.2">
      <c r="A19" s="159"/>
      <c r="B19" s="199"/>
      <c r="C19" s="159" t="s">
        <v>27</v>
      </c>
      <c r="D19" s="159"/>
      <c r="E19" s="202">
        <f>SUM(G19:Z19)</f>
        <v>0</v>
      </c>
      <c r="F19" s="159"/>
      <c r="G19" s="203">
        <f>IF(G10=0,0,(IF(G10&gt;=100,tab!$J10,tab!$J9)))</f>
        <v>0</v>
      </c>
      <c r="H19" s="203">
        <f>IF(H10=0,0,(IF(H10&gt;=100,tab!$J10,tab!$J9)))</f>
        <v>0</v>
      </c>
      <c r="I19" s="203">
        <f>IF(I10=0,0,(IF(I10&gt;=100,tab!$J10,tab!$J9)))</f>
        <v>0</v>
      </c>
      <c r="J19" s="203">
        <f>IF(J10=0,0,(IF(J10&gt;=100,tab!$J10,tab!$J9)))</f>
        <v>0</v>
      </c>
      <c r="K19" s="203">
        <f>IF(K10=0,0,(IF(K10&gt;=100,tab!$J10,tab!$J9)))</f>
        <v>0</v>
      </c>
      <c r="L19" s="203">
        <f>IF(L10=0,0,(IF(L10&gt;=100,tab!$J10,tab!$J9)))</f>
        <v>0</v>
      </c>
      <c r="M19" s="203">
        <f>IF(M10=0,0,(IF(M10&gt;=100,tab!$J10,tab!$J9)))</f>
        <v>0</v>
      </c>
      <c r="N19" s="203">
        <f>IF(N10=0,0,(IF(N10&gt;=100,tab!$J10,tab!$J9)))</f>
        <v>0</v>
      </c>
      <c r="O19" s="203">
        <f>IF(O10=0,0,(IF(O10&gt;=100,tab!$J10,tab!$J9)))</f>
        <v>0</v>
      </c>
      <c r="P19" s="203">
        <f>IF(P10=0,0,(IF(P10&gt;=100,tab!$J10,tab!$J9)))</f>
        <v>0</v>
      </c>
      <c r="Q19" s="203">
        <f>IF(Q10=0,0,(IF(Q10&gt;=100,tab!$J10,tab!$J9)))</f>
        <v>0</v>
      </c>
      <c r="R19" s="203">
        <f>IF(R10=0,0,(IF(R10&gt;=100,tab!$J10,tab!$J9)))</f>
        <v>0</v>
      </c>
      <c r="S19" s="203">
        <f>IF(S10=0,0,(IF(S10&gt;=100,tab!$J10,tab!$J9)))</f>
        <v>0</v>
      </c>
      <c r="T19" s="203">
        <f>IF(T10=0,0,(IF(T10&gt;=100,tab!$J10,tab!$J9)))</f>
        <v>0</v>
      </c>
      <c r="U19" s="203">
        <f>IF(U10=0,0,(IF(U10&gt;=100,tab!$J10,tab!$J9)))</f>
        <v>0</v>
      </c>
      <c r="V19" s="203">
        <f>IF(V10=0,0,(IF(V10&gt;=100,tab!$J10,tab!$J9)))</f>
        <v>0</v>
      </c>
      <c r="W19" s="203">
        <f>IF(W10=0,0,(IF(W10&gt;=100,tab!$J10,tab!$J9)))</f>
        <v>0</v>
      </c>
      <c r="X19" s="203">
        <f>IF(X10=0,0,(IF(X10&gt;=100,tab!$J10,tab!$J9)))</f>
        <v>0</v>
      </c>
      <c r="Y19" s="203">
        <f>IF(Y10=0,0,(IF(Y10&gt;=100,tab!$J10,tab!$J9)))</f>
        <v>0</v>
      </c>
      <c r="Z19" s="203">
        <f>IF(Z10=0,0,(IF(Z10&gt;=100,tab!$J10,tab!$J9)))</f>
        <v>0</v>
      </c>
      <c r="AA19" s="200"/>
      <c r="AB19" s="159"/>
      <c r="AC19" s="159"/>
    </row>
    <row r="20" spans="1:30" x14ac:dyDescent="0.2">
      <c r="A20" s="159"/>
      <c r="B20" s="199"/>
      <c r="C20" s="159"/>
      <c r="D20" s="159"/>
      <c r="E20" s="205">
        <f>SUM(G20:Z20)</f>
        <v>0</v>
      </c>
      <c r="F20" s="159"/>
      <c r="G20" s="206">
        <f>SUM(G18:G19)</f>
        <v>0</v>
      </c>
      <c r="H20" s="206">
        <f t="shared" ref="H20:Z20" si="1">SUM(H18:H19)</f>
        <v>0</v>
      </c>
      <c r="I20" s="206">
        <f t="shared" si="1"/>
        <v>0</v>
      </c>
      <c r="J20" s="206">
        <f t="shared" si="1"/>
        <v>0</v>
      </c>
      <c r="K20" s="206">
        <f t="shared" si="1"/>
        <v>0</v>
      </c>
      <c r="L20" s="206">
        <f t="shared" si="1"/>
        <v>0</v>
      </c>
      <c r="M20" s="206">
        <f t="shared" si="1"/>
        <v>0</v>
      </c>
      <c r="N20" s="206">
        <f t="shared" si="1"/>
        <v>0</v>
      </c>
      <c r="O20" s="206">
        <f t="shared" si="1"/>
        <v>0</v>
      </c>
      <c r="P20" s="206">
        <f t="shared" si="1"/>
        <v>0</v>
      </c>
      <c r="Q20" s="206">
        <f t="shared" si="1"/>
        <v>0</v>
      </c>
      <c r="R20" s="206">
        <f t="shared" si="1"/>
        <v>0</v>
      </c>
      <c r="S20" s="206">
        <f t="shared" si="1"/>
        <v>0</v>
      </c>
      <c r="T20" s="206">
        <f t="shared" si="1"/>
        <v>0</v>
      </c>
      <c r="U20" s="206">
        <f t="shared" si="1"/>
        <v>0</v>
      </c>
      <c r="V20" s="206">
        <f t="shared" si="1"/>
        <v>0</v>
      </c>
      <c r="W20" s="206">
        <f t="shared" si="1"/>
        <v>0</v>
      </c>
      <c r="X20" s="206">
        <f t="shared" si="1"/>
        <v>0</v>
      </c>
      <c r="Y20" s="206">
        <f t="shared" si="1"/>
        <v>0</v>
      </c>
      <c r="Z20" s="206">
        <f t="shared" si="1"/>
        <v>0</v>
      </c>
      <c r="AA20" s="200"/>
      <c r="AB20" s="159"/>
      <c r="AC20" s="159"/>
    </row>
    <row r="21" spans="1:30" x14ac:dyDescent="0.2">
      <c r="A21" s="159"/>
      <c r="B21" s="199"/>
      <c r="C21" s="174" t="s">
        <v>28</v>
      </c>
      <c r="D21" s="174"/>
      <c r="E21" s="207"/>
      <c r="F21" s="174"/>
      <c r="G21" s="203"/>
      <c r="H21" s="203"/>
      <c r="I21" s="203"/>
      <c r="J21" s="203"/>
      <c r="K21" s="203"/>
      <c r="L21" s="203"/>
      <c r="M21" s="203"/>
      <c r="N21" s="203"/>
      <c r="O21" s="203"/>
      <c r="P21" s="203"/>
      <c r="Q21" s="203"/>
      <c r="R21" s="203"/>
      <c r="S21" s="203"/>
      <c r="T21" s="203"/>
      <c r="U21" s="203"/>
      <c r="V21" s="203"/>
      <c r="W21" s="203"/>
      <c r="X21" s="203"/>
      <c r="Y21" s="203"/>
      <c r="Z21" s="203"/>
      <c r="AA21" s="200"/>
      <c r="AB21" s="159"/>
      <c r="AC21" s="159"/>
    </row>
    <row r="22" spans="1:30" x14ac:dyDescent="0.2">
      <c r="A22" s="159"/>
      <c r="B22" s="199"/>
      <c r="C22" s="159" t="s">
        <v>29</v>
      </c>
      <c r="D22" s="159"/>
      <c r="E22" s="202">
        <f t="shared" ref="E22:E32" si="2">SUM(G22:Z22)</f>
        <v>0</v>
      </c>
      <c r="F22" s="159"/>
      <c r="G22" s="203">
        <f>IF(G10=0,0,(IF(tab!$J11-(G10*tab!$J12)&lt;0,0,(tab!$J11-(G10*tab!$J12)))))</f>
        <v>0</v>
      </c>
      <c r="H22" s="203">
        <f>IF(H10=0,0,(IF(tab!$J11-(H10*tab!$J12)&lt;0,0,(tab!$J11-(H10*tab!$J12)))))</f>
        <v>0</v>
      </c>
      <c r="I22" s="203">
        <f>IF(I10=0,0,(IF(tab!$J11-(I10*tab!$J12)&lt;0,0,(tab!$J11-(I10*tab!$J12)))))</f>
        <v>0</v>
      </c>
      <c r="J22" s="203">
        <f>IF(J10=0,0,(IF(tab!$J11-(J10*tab!$J12)&lt;0,0,(tab!$J11-(J10*tab!$J12)))))</f>
        <v>0</v>
      </c>
      <c r="K22" s="203">
        <f>IF(K10=0,0,(IF(tab!$J11-(K10*tab!$J12)&lt;0,0,(tab!$J11-(K10*tab!$J12)))))</f>
        <v>0</v>
      </c>
      <c r="L22" s="203">
        <f>IF(L10=0,0,(IF(tab!$J11-(L10*tab!$J12)&lt;0,0,(tab!$J11-(L10*tab!$J12)))))</f>
        <v>0</v>
      </c>
      <c r="M22" s="203">
        <f>IF(M10=0,0,(IF(tab!$J11-(M10*tab!$J12)&lt;0,0,(tab!$J11-(M10*tab!$J12)))))</f>
        <v>0</v>
      </c>
      <c r="N22" s="203">
        <f>IF(N10=0,0,(IF(tab!$J11-(N10*tab!$J12)&lt;0,0,(tab!$J11-(N10*tab!$J12)))))</f>
        <v>0</v>
      </c>
      <c r="O22" s="203">
        <f>IF(O10=0,0,(IF(tab!$J11-(O10*tab!$J12)&lt;0,0,(tab!$J11-(O10*tab!$J12)))))</f>
        <v>0</v>
      </c>
      <c r="P22" s="203">
        <f>IF(P10=0,0,(IF(tab!$J11-(P10*tab!$J12)&lt;0,0,(tab!$J11-(P10*tab!$J12)))))</f>
        <v>0</v>
      </c>
      <c r="Q22" s="203">
        <f>IF(Q10=0,0,(IF(tab!$J11-(Q10*tab!$J12)&lt;0,0,(tab!$J11-(Q10*tab!$J12)))))</f>
        <v>0</v>
      </c>
      <c r="R22" s="203">
        <f>IF(R10=0,0,(IF(tab!$J11-(R10*tab!$J12)&lt;0,0,(tab!$J11-(R10*tab!$J12)))))</f>
        <v>0</v>
      </c>
      <c r="S22" s="203">
        <f>IF(S10=0,0,(IF(tab!$J11-(S10*tab!$J12)&lt;0,0,(tab!$J11-(S10*tab!$J12)))))</f>
        <v>0</v>
      </c>
      <c r="T22" s="203">
        <f>IF(T10=0,0,(IF(tab!$J11-(T10*tab!$J12)&lt;0,0,(tab!$J11-(T10*tab!$J12)))))</f>
        <v>0</v>
      </c>
      <c r="U22" s="203">
        <f>IF(U10=0,0,(IF(tab!$J11-(U10*tab!$J12)&lt;0,0,(tab!$J11-(U10*tab!$J12)))))</f>
        <v>0</v>
      </c>
      <c r="V22" s="203">
        <f>IF(V10=0,0,(IF(tab!$J11-(V10*tab!$J12)&lt;0,0,(tab!$J11-(V10*tab!$J12)))))</f>
        <v>0</v>
      </c>
      <c r="W22" s="203">
        <f>IF(W10=0,0,(IF(tab!$J11-(W10*tab!$J12)&lt;0,0,(tab!$J11-(W10*tab!$J12)))))</f>
        <v>0</v>
      </c>
      <c r="X22" s="203">
        <f>IF(X10=0,0,(IF(tab!$J11-(X10*tab!$J12)&lt;0,0,(tab!$J11-(X10*tab!$J12)))))</f>
        <v>0</v>
      </c>
      <c r="Y22" s="203">
        <f>IF(Y10=0,0,(IF(tab!$J11-(Y10*tab!$J12)&lt;0,0,(tab!$J11-(Y10*tab!$J12)))))</f>
        <v>0</v>
      </c>
      <c r="Z22" s="203">
        <f>IF(Z10=0,0,(IF(tab!$J11-(Z10*tab!$J12)&lt;0,0,(tab!$J11-(Z10*tab!$J12)))))</f>
        <v>0</v>
      </c>
      <c r="AA22" s="200"/>
      <c r="AB22" s="159"/>
      <c r="AC22" s="159"/>
    </row>
    <row r="23" spans="1:30" x14ac:dyDescent="0.2">
      <c r="A23" s="159"/>
      <c r="B23" s="199"/>
      <c r="C23" s="159" t="s">
        <v>30</v>
      </c>
      <c r="D23" s="159"/>
      <c r="E23" s="202">
        <f t="shared" si="2"/>
        <v>0</v>
      </c>
      <c r="F23" s="159"/>
      <c r="G23" s="203">
        <f>IF(G10=0,0,(IF(tab!$J13-(G18+G19+G22+G24)&lt;0,0,tab!$J13-(G18+G19+G22+G24))))</f>
        <v>0</v>
      </c>
      <c r="H23" s="203">
        <f>IF(H10=0,0,(IF(tab!$J13-(H18+H19+H22+H24)&lt;0,0,tab!$J13-(H18+H19+H22+H24))))</f>
        <v>0</v>
      </c>
      <c r="I23" s="203">
        <f>IF(I10=0,0,(IF(tab!$J13-(I18+I19+I22+I24)&lt;0,0,tab!$J13-(I18+I19+I22+I24))))</f>
        <v>0</v>
      </c>
      <c r="J23" s="203">
        <f>IF(J10=0,0,(IF(tab!$J13-(J18+J19+J22+J24)&lt;0,0,tab!$J13-(J18+J19+J22+J24))))</f>
        <v>0</v>
      </c>
      <c r="K23" s="203">
        <f>IF(K10=0,0,(IF(tab!$J13-(K18+K19+K22+K24)&lt;0,0,tab!$J13-(K18+K19+K22+K24))))</f>
        <v>0</v>
      </c>
      <c r="L23" s="203">
        <f>IF(L10=0,0,(IF(tab!$J13-(L18+L19+L22+L24)&lt;0,0,tab!$J13-(L18+L19+L22+L24))))</f>
        <v>0</v>
      </c>
      <c r="M23" s="203">
        <f>IF(M10=0,0,(IF(tab!$J13-(M18+M19+M22+M24)&lt;0,0,tab!$J13-(M18+M19+M22+M24))))</f>
        <v>0</v>
      </c>
      <c r="N23" s="203">
        <f>IF(N10=0,0,(IF(tab!$J13-(N18+N19+N22+N24)&lt;0,0,tab!$J13-(N18+N19+N22+N24))))</f>
        <v>0</v>
      </c>
      <c r="O23" s="203">
        <f>IF(O10=0,0,(IF(tab!$J13-(O18+O19+O22+O24)&lt;0,0,tab!$J13-(O18+O19+O22+O24))))</f>
        <v>0</v>
      </c>
      <c r="P23" s="203">
        <f>IF(P10=0,0,(IF(tab!$J13-(P18+P19+P22+P24)&lt;0,0,tab!$J13-(P18+P19+P22+P24))))</f>
        <v>0</v>
      </c>
      <c r="Q23" s="203">
        <f>IF(Q10=0,0,(IF(tab!$J13-(Q18+Q19+Q22+Q24)&lt;0,0,tab!$J13-(Q18+Q19+Q22+Q24))))</f>
        <v>0</v>
      </c>
      <c r="R23" s="203">
        <f>IF(R10=0,0,(IF(tab!$J13-(R18+R19+R22+R24)&lt;0,0,tab!$J13-(R18+R19+R22+R24))))</f>
        <v>0</v>
      </c>
      <c r="S23" s="203">
        <f>IF(S10=0,0,(IF(tab!$J13-(S18+S19+S22+S24)&lt;0,0,tab!$J13-(S18+S19+S22+S24))))</f>
        <v>0</v>
      </c>
      <c r="T23" s="203">
        <f>IF(T10=0,0,(IF(tab!$J13-(T18+T19+T22+T24)&lt;0,0,tab!$J13-(T18+T19+T22+T24))))</f>
        <v>0</v>
      </c>
      <c r="U23" s="203">
        <f>IF(U10=0,0,(IF(tab!$J13-(U18+U19+U22+U24)&lt;0,0,tab!$J13-(U18+U19+U22+U24))))</f>
        <v>0</v>
      </c>
      <c r="V23" s="203">
        <f>IF(V10=0,0,(IF(tab!$J13-(V18+V19+V22+V24)&lt;0,0,tab!$J13-(V18+V19+V22+V24))))</f>
        <v>0</v>
      </c>
      <c r="W23" s="203">
        <f>IF(W10=0,0,(IF(tab!$J13-(W18+W19+W22+W24)&lt;0,0,tab!$J13-(W18+W19+W22+W24))))</f>
        <v>0</v>
      </c>
      <c r="X23" s="203">
        <f>IF(X10=0,0,(IF(tab!$J13-(X18+X19+X22+X24)&lt;0,0,tab!$J13-(X18+X19+X22+X24))))</f>
        <v>0</v>
      </c>
      <c r="Y23" s="203">
        <f>IF(Y10=0,0,(IF(tab!$J13-(Y18+Y19+Y22+Y24)&lt;0,0,tab!$J13-(Y18+Y19+Y22+Y24))))</f>
        <v>0</v>
      </c>
      <c r="Z23" s="203">
        <f>IF(Z10=0,0,(IF(tab!$J13-(Z18+Z19+Z22+Z24)&lt;0,0,tab!$J13-(Z18+Z19+Z22+Z24))))</f>
        <v>0</v>
      </c>
      <c r="AA23" s="200"/>
      <c r="AB23" s="159"/>
      <c r="AC23" s="159"/>
    </row>
    <row r="24" spans="1:30" x14ac:dyDescent="0.2">
      <c r="A24" s="159"/>
      <c r="B24" s="199"/>
      <c r="C24" s="159" t="s">
        <v>186</v>
      </c>
      <c r="D24" s="159"/>
      <c r="E24" s="202">
        <f t="shared" si="2"/>
        <v>0</v>
      </c>
      <c r="F24" s="159"/>
      <c r="G24" s="203">
        <f t="shared" ref="G24:Z24" si="3">IF(G12=0,0,G29+G30)</f>
        <v>0</v>
      </c>
      <c r="H24" s="203">
        <f t="shared" si="3"/>
        <v>0</v>
      </c>
      <c r="I24" s="203">
        <f t="shared" si="3"/>
        <v>0</v>
      </c>
      <c r="J24" s="203">
        <f t="shared" si="3"/>
        <v>0</v>
      </c>
      <c r="K24" s="203">
        <f t="shared" si="3"/>
        <v>0</v>
      </c>
      <c r="L24" s="203">
        <f t="shared" si="3"/>
        <v>0</v>
      </c>
      <c r="M24" s="203">
        <f t="shared" si="3"/>
        <v>0</v>
      </c>
      <c r="N24" s="203">
        <f t="shared" si="3"/>
        <v>0</v>
      </c>
      <c r="O24" s="203">
        <f t="shared" si="3"/>
        <v>0</v>
      </c>
      <c r="P24" s="203">
        <f t="shared" si="3"/>
        <v>0</v>
      </c>
      <c r="Q24" s="203">
        <f t="shared" si="3"/>
        <v>0</v>
      </c>
      <c r="R24" s="203">
        <f t="shared" si="3"/>
        <v>0</v>
      </c>
      <c r="S24" s="203">
        <f t="shared" si="3"/>
        <v>0</v>
      </c>
      <c r="T24" s="203">
        <f t="shared" si="3"/>
        <v>0</v>
      </c>
      <c r="U24" s="203">
        <f t="shared" si="3"/>
        <v>0</v>
      </c>
      <c r="V24" s="203">
        <f t="shared" si="3"/>
        <v>0</v>
      </c>
      <c r="W24" s="203">
        <f t="shared" si="3"/>
        <v>0</v>
      </c>
      <c r="X24" s="203">
        <f t="shared" si="3"/>
        <v>0</v>
      </c>
      <c r="Y24" s="203">
        <f t="shared" si="3"/>
        <v>0</v>
      </c>
      <c r="Z24" s="203">
        <f t="shared" si="3"/>
        <v>0</v>
      </c>
      <c r="AA24" s="200"/>
      <c r="AB24" s="159"/>
      <c r="AC24" s="159"/>
    </row>
    <row r="25" spans="1:30" s="27" customFormat="1" hidden="1" x14ac:dyDescent="0.2">
      <c r="A25" s="208"/>
      <c r="B25" s="209"/>
      <c r="C25" s="210" t="s">
        <v>31</v>
      </c>
      <c r="D25" s="211"/>
      <c r="E25" s="202">
        <f t="shared" si="2"/>
        <v>4941310.9999999981</v>
      </c>
      <c r="F25" s="211"/>
      <c r="G25" s="212">
        <f>IF((G10-G12-G13)&lt;150,tab!$J11-((G10-G12-G13)*tab!$J12),0)</f>
        <v>247065.55</v>
      </c>
      <c r="H25" s="212">
        <f>IF((H10-H12-H13)&lt;150,tab!$J11-((H10-H12-H13)*tab!$J12),0)</f>
        <v>247065.55</v>
      </c>
      <c r="I25" s="212">
        <f>IF((I10-I12-I13)&lt;150,tab!$J11-((I10-I12-I13)*tab!$J12),0)</f>
        <v>247065.55</v>
      </c>
      <c r="J25" s="212">
        <f>IF((J10-J12-J13)&lt;150,tab!$J11-((J10-J12-J13)*tab!$J12),0)</f>
        <v>247065.55</v>
      </c>
      <c r="K25" s="212">
        <f>IF((K10-K12-K13)&lt;150,tab!$J11-((K10-K12-K13)*tab!$J12),0)</f>
        <v>247065.55</v>
      </c>
      <c r="L25" s="212">
        <f>IF((L10-L12-L13)&lt;150,tab!$J11-((L10-L12-L13)*tab!$J12),0)</f>
        <v>247065.55</v>
      </c>
      <c r="M25" s="212">
        <f>IF((M10-M12-M13)&lt;150,tab!$J11-((M10-M12-M13)*tab!$J12),0)</f>
        <v>247065.55</v>
      </c>
      <c r="N25" s="212">
        <f>IF((N10-N12-N13)&lt;150,tab!$J11-((N10-N12-N13)*tab!$J12),0)</f>
        <v>247065.55</v>
      </c>
      <c r="O25" s="212">
        <f>IF((O10-O12-O13)&lt;150,tab!$J11-((O10-O12-O13)*tab!$J12),0)</f>
        <v>247065.55</v>
      </c>
      <c r="P25" s="212">
        <f>IF((P10-P12-P13)&lt;150,tab!$J11-((P10-P12-P13)*tab!$J12),0)</f>
        <v>247065.55</v>
      </c>
      <c r="Q25" s="212">
        <f>IF((Q10-Q12-Q13)&lt;150,tab!$J11-((Q10-Q12-Q13)*tab!$J12),0)</f>
        <v>247065.55</v>
      </c>
      <c r="R25" s="212">
        <f>IF((R10-R12-R13)&lt;150,tab!$J11-((R10-R12-R13)*tab!$J12),0)</f>
        <v>247065.55</v>
      </c>
      <c r="S25" s="212">
        <f>IF((S10-S12-S13)&lt;150,tab!$J11-((S10-S12-S13)*tab!$J12),0)</f>
        <v>247065.55</v>
      </c>
      <c r="T25" s="212">
        <f>IF((T10-T12-T13)&lt;150,tab!$J11-((T10-T12-T13)*tab!$J12),0)</f>
        <v>247065.55</v>
      </c>
      <c r="U25" s="212">
        <f>IF((U10-U12-U13)&lt;150,tab!$J11-((U10-U12-U13)*tab!$J12),0)</f>
        <v>247065.55</v>
      </c>
      <c r="V25" s="212">
        <f>IF((V10-V12-V13)&lt;150,tab!$J11-((V10-V12-V13)*tab!$J12),0)</f>
        <v>247065.55</v>
      </c>
      <c r="W25" s="212">
        <f>IF((W10-W12-W13)&lt;150,tab!$J11-((W10-W12-W13)*tab!$J12),0)</f>
        <v>247065.55</v>
      </c>
      <c r="X25" s="212">
        <f>IF((X10-X12-X13)&lt;150,tab!$J11-((X10-X12-X13)*tab!$J12),0)</f>
        <v>247065.55</v>
      </c>
      <c r="Y25" s="212">
        <f>IF((Y10-Y12-Y13)&lt;150,tab!$J11-((Y10-Y12-Y13)*tab!$J12),0)</f>
        <v>247065.55</v>
      </c>
      <c r="Z25" s="212">
        <f>IF((Z10-Z12-Z13)&lt;150,tab!$J11-((Z10-Z12-Z13)*tab!$J12),0)</f>
        <v>247065.55</v>
      </c>
      <c r="AA25" s="213"/>
      <c r="AB25" s="208"/>
      <c r="AC25" s="208"/>
    </row>
    <row r="26" spans="1:30" s="27" customFormat="1" hidden="1" x14ac:dyDescent="0.2">
      <c r="A26" s="208"/>
      <c r="B26" s="209"/>
      <c r="C26" s="210" t="s">
        <v>32</v>
      </c>
      <c r="D26" s="211"/>
      <c r="E26" s="202">
        <f t="shared" si="2"/>
        <v>0</v>
      </c>
      <c r="F26" s="211"/>
      <c r="G26" s="212">
        <f>IF(G12=0,0,IF(G12&lt;150,tab!$J11-(G12*tab!$J12),0))</f>
        <v>0</v>
      </c>
      <c r="H26" s="212">
        <f>IF(H12=0,0,IF(H12&lt;150,tab!$J11-(H12*tab!$J12),0))</f>
        <v>0</v>
      </c>
      <c r="I26" s="212">
        <f>IF(I12=0,0,IF(I12&lt;150,tab!$J11-(I12*tab!$J12),0))</f>
        <v>0</v>
      </c>
      <c r="J26" s="212">
        <f>IF(J12=0,0,IF(J12&lt;150,tab!$J11-(J12*tab!$J12),0))</f>
        <v>0</v>
      </c>
      <c r="K26" s="212">
        <f>IF(K12=0,0,IF(K12&lt;150,tab!$J11-(K12*tab!$J12),0))</f>
        <v>0</v>
      </c>
      <c r="L26" s="212">
        <f>IF(L12=0,0,IF(L12&lt;150,tab!$J11-(L12*tab!$J12),0))</f>
        <v>0</v>
      </c>
      <c r="M26" s="212">
        <f>IF(M12=0,0,IF(M12&lt;150,tab!$J11-(M12*tab!$J12),0))</f>
        <v>0</v>
      </c>
      <c r="N26" s="212">
        <f>IF(N12=0,0,IF(N12&lt;150,tab!$J11-(N12*tab!$J12),0))</f>
        <v>0</v>
      </c>
      <c r="O26" s="212">
        <f>IF(O12=0,0,IF(O12&lt;150,tab!$J11-(O12*tab!$J12),0))</f>
        <v>0</v>
      </c>
      <c r="P26" s="212">
        <f>IF(P12=0,0,IF(P12&lt;150,tab!$J11-(P12*tab!$J12),0))</f>
        <v>0</v>
      </c>
      <c r="Q26" s="212">
        <f>IF(Q12=0,0,IF(Q12&lt;150,tab!$J11-(Q12*tab!$J12),0))</f>
        <v>0</v>
      </c>
      <c r="R26" s="212">
        <f>IF(R12=0,0,IF(R12&lt;150,tab!$J11-(R12*tab!$J12),0))</f>
        <v>0</v>
      </c>
      <c r="S26" s="212">
        <f>IF(S12=0,0,IF(S12&lt;150,tab!$J11-(S12*tab!$J12),0))</f>
        <v>0</v>
      </c>
      <c r="T26" s="212">
        <f>IF(T12=0,0,IF(T12&lt;150,tab!$J11-(T12*tab!$J12),0))</f>
        <v>0</v>
      </c>
      <c r="U26" s="212">
        <f>IF(U12=0,0,IF(U12&lt;150,tab!$J11-(U12*tab!$J12),0))</f>
        <v>0</v>
      </c>
      <c r="V26" s="212">
        <f>IF(V12=0,0,IF(V12&lt;150,tab!$J11-(V12*tab!$J12),0))</f>
        <v>0</v>
      </c>
      <c r="W26" s="212">
        <f>IF(W12=0,0,IF(W12&lt;150,tab!$J11-(W12*tab!$J12),0))</f>
        <v>0</v>
      </c>
      <c r="X26" s="212">
        <f>IF(X12=0,0,IF(X12&lt;150,tab!$J11-(X12*tab!$J12),0))</f>
        <v>0</v>
      </c>
      <c r="Y26" s="212">
        <f>IF(Y12=0,0,IF(Y12&lt;150,tab!$J11-(Y12*tab!$J12),0))</f>
        <v>0</v>
      </c>
      <c r="Z26" s="212">
        <f>IF(Z12=0,0,IF(Z12&lt;150,tab!$J11-(Z12*tab!$J12),0))</f>
        <v>0</v>
      </c>
      <c r="AA26" s="213"/>
      <c r="AB26" s="208"/>
      <c r="AC26" s="208"/>
    </row>
    <row r="27" spans="1:30" s="27" customFormat="1" hidden="1" x14ac:dyDescent="0.2">
      <c r="A27" s="208"/>
      <c r="B27" s="209"/>
      <c r="C27" s="210" t="s">
        <v>33</v>
      </c>
      <c r="D27" s="211"/>
      <c r="E27" s="202">
        <f t="shared" si="2"/>
        <v>0</v>
      </c>
      <c r="F27" s="211"/>
      <c r="G27" s="212">
        <f>IF(G13=0,0,IF(G13&lt;150,tab!$J11-(G13*tab!$J12),0))</f>
        <v>0</v>
      </c>
      <c r="H27" s="212">
        <f>IF(H13=0,0,IF(H13&lt;150,tab!$J11-(H13*tab!$J12),0))</f>
        <v>0</v>
      </c>
      <c r="I27" s="212">
        <f>IF(I13=0,0,IF(I13&lt;150,tab!$J11-(I13*tab!$J12),0))</f>
        <v>0</v>
      </c>
      <c r="J27" s="212">
        <f>IF(J13=0,0,IF(J13&lt;150,tab!$J11-(J13*tab!$J12),0))</f>
        <v>0</v>
      </c>
      <c r="K27" s="212">
        <f>IF(K13=0,0,IF(K13&lt;150,tab!$J11-(K13*tab!$J12),0))</f>
        <v>0</v>
      </c>
      <c r="L27" s="212">
        <f>IF(L13=0,0,IF(L13&lt;150,tab!$J11-(L13*tab!$J12),0))</f>
        <v>0</v>
      </c>
      <c r="M27" s="212">
        <f>IF(M13=0,0,IF(M13&lt;150,tab!$J11-(M13*tab!$J12),0))</f>
        <v>0</v>
      </c>
      <c r="N27" s="212">
        <f>IF(N13=0,0,IF(N13&lt;150,tab!$J11-(N13*tab!$J12),0))</f>
        <v>0</v>
      </c>
      <c r="O27" s="212">
        <f>IF(O13=0,0,IF(O13&lt;150,tab!$J11-(O13*tab!$J12),0))</f>
        <v>0</v>
      </c>
      <c r="P27" s="212">
        <f>IF(P13=0,0,IF(P13&lt;150,tab!$J11-(P13*tab!$J12),0))</f>
        <v>0</v>
      </c>
      <c r="Q27" s="212">
        <f>IF(Q13=0,0,IF(Q13&lt;150,tab!$J11-(Q13*tab!$J12),0))</f>
        <v>0</v>
      </c>
      <c r="R27" s="212">
        <f>IF(R13=0,0,IF(R13&lt;150,tab!$J11-(R13*tab!$J12),0))</f>
        <v>0</v>
      </c>
      <c r="S27" s="212">
        <f>IF(S13=0,0,IF(S13&lt;150,tab!$J11-(S13*tab!$J12),0))</f>
        <v>0</v>
      </c>
      <c r="T27" s="212">
        <f>IF(T13=0,0,IF(T13&lt;150,tab!$J11-(T13*tab!$J12),0))</f>
        <v>0</v>
      </c>
      <c r="U27" s="212">
        <f>IF(U13=0,0,IF(U13&lt;150,tab!$J11-(U13*tab!$J12),0))</f>
        <v>0</v>
      </c>
      <c r="V27" s="212">
        <f>IF(V13=0,0,IF(V13&lt;150,tab!$J11-(V13*tab!$J12),0))</f>
        <v>0</v>
      </c>
      <c r="W27" s="212">
        <f>IF(W13=0,0,IF(W13&lt;150,tab!$J11-(W13*tab!$J12),0))</f>
        <v>0</v>
      </c>
      <c r="X27" s="212">
        <f>IF(X13=0,0,IF(X13&lt;150,tab!$J11-(X13*tab!$J12),0))</f>
        <v>0</v>
      </c>
      <c r="Y27" s="212">
        <f>IF(Y13=0,0,IF(Y13&lt;150,tab!$J11-(Y13*tab!$J12),0))</f>
        <v>0</v>
      </c>
      <c r="Z27" s="212">
        <f>IF(Z13=0,0,IF(Z13&lt;150,tab!$J11-(Z13*tab!$J12),0))</f>
        <v>0</v>
      </c>
      <c r="AA27" s="213"/>
      <c r="AB27" s="208"/>
      <c r="AC27" s="208"/>
    </row>
    <row r="28" spans="1:30" s="27" customFormat="1" hidden="1" x14ac:dyDescent="0.2">
      <c r="A28" s="208"/>
      <c r="B28" s="209"/>
      <c r="C28" s="210" t="s">
        <v>34</v>
      </c>
      <c r="D28" s="211"/>
      <c r="E28" s="202">
        <f t="shared" si="2"/>
        <v>0</v>
      </c>
      <c r="F28" s="211"/>
      <c r="G28" s="212">
        <f t="shared" ref="G28:Z28" si="4">G22</f>
        <v>0</v>
      </c>
      <c r="H28" s="212">
        <f t="shared" si="4"/>
        <v>0</v>
      </c>
      <c r="I28" s="212">
        <f t="shared" si="4"/>
        <v>0</v>
      </c>
      <c r="J28" s="212">
        <f t="shared" si="4"/>
        <v>0</v>
      </c>
      <c r="K28" s="212">
        <f t="shared" si="4"/>
        <v>0</v>
      </c>
      <c r="L28" s="212">
        <f t="shared" si="4"/>
        <v>0</v>
      </c>
      <c r="M28" s="212">
        <f t="shared" si="4"/>
        <v>0</v>
      </c>
      <c r="N28" s="212">
        <f t="shared" si="4"/>
        <v>0</v>
      </c>
      <c r="O28" s="212">
        <f t="shared" si="4"/>
        <v>0</v>
      </c>
      <c r="P28" s="212">
        <f t="shared" si="4"/>
        <v>0</v>
      </c>
      <c r="Q28" s="212">
        <f t="shared" si="4"/>
        <v>0</v>
      </c>
      <c r="R28" s="212">
        <f t="shared" si="4"/>
        <v>0</v>
      </c>
      <c r="S28" s="212">
        <f t="shared" si="4"/>
        <v>0</v>
      </c>
      <c r="T28" s="212">
        <f t="shared" si="4"/>
        <v>0</v>
      </c>
      <c r="U28" s="212">
        <f t="shared" si="4"/>
        <v>0</v>
      </c>
      <c r="V28" s="212">
        <f t="shared" si="4"/>
        <v>0</v>
      </c>
      <c r="W28" s="212">
        <f t="shared" si="4"/>
        <v>0</v>
      </c>
      <c r="X28" s="212">
        <f t="shared" si="4"/>
        <v>0</v>
      </c>
      <c r="Y28" s="212">
        <f t="shared" si="4"/>
        <v>0</v>
      </c>
      <c r="Z28" s="212">
        <f t="shared" si="4"/>
        <v>0</v>
      </c>
      <c r="AA28" s="213"/>
      <c r="AB28" s="208"/>
      <c r="AC28" s="208"/>
    </row>
    <row r="29" spans="1:30" s="27" customFormat="1" hidden="1" x14ac:dyDescent="0.2">
      <c r="A29" s="208"/>
      <c r="B29" s="209"/>
      <c r="C29" s="210" t="s">
        <v>35</v>
      </c>
      <c r="D29" s="211"/>
      <c r="E29" s="202">
        <f t="shared" si="2"/>
        <v>2964786.6000000006</v>
      </c>
      <c r="F29" s="211"/>
      <c r="G29" s="212">
        <f t="shared" ref="G29:Z29" si="5">(SUM(G25:G27)-G28)*60%</f>
        <v>148239.32999999999</v>
      </c>
      <c r="H29" s="212">
        <f t="shared" si="5"/>
        <v>148239.32999999999</v>
      </c>
      <c r="I29" s="212">
        <f t="shared" si="5"/>
        <v>148239.32999999999</v>
      </c>
      <c r="J29" s="212">
        <f t="shared" si="5"/>
        <v>148239.32999999999</v>
      </c>
      <c r="K29" s="212">
        <f t="shared" si="5"/>
        <v>148239.32999999999</v>
      </c>
      <c r="L29" s="212">
        <f t="shared" si="5"/>
        <v>148239.32999999999</v>
      </c>
      <c r="M29" s="212">
        <f t="shared" si="5"/>
        <v>148239.32999999999</v>
      </c>
      <c r="N29" s="212">
        <f t="shared" si="5"/>
        <v>148239.32999999999</v>
      </c>
      <c r="O29" s="212">
        <f t="shared" si="5"/>
        <v>148239.32999999999</v>
      </c>
      <c r="P29" s="212">
        <f t="shared" si="5"/>
        <v>148239.32999999999</v>
      </c>
      <c r="Q29" s="212">
        <f t="shared" si="5"/>
        <v>148239.32999999999</v>
      </c>
      <c r="R29" s="212">
        <f t="shared" si="5"/>
        <v>148239.32999999999</v>
      </c>
      <c r="S29" s="212">
        <f t="shared" si="5"/>
        <v>148239.32999999999</v>
      </c>
      <c r="T29" s="212">
        <f t="shared" si="5"/>
        <v>148239.32999999999</v>
      </c>
      <c r="U29" s="212">
        <f t="shared" si="5"/>
        <v>148239.32999999999</v>
      </c>
      <c r="V29" s="212">
        <f t="shared" si="5"/>
        <v>148239.32999999999</v>
      </c>
      <c r="W29" s="212">
        <f t="shared" si="5"/>
        <v>148239.32999999999</v>
      </c>
      <c r="X29" s="212">
        <f t="shared" si="5"/>
        <v>148239.32999999999</v>
      </c>
      <c r="Y29" s="212">
        <f t="shared" si="5"/>
        <v>148239.32999999999</v>
      </c>
      <c r="Z29" s="212">
        <f t="shared" si="5"/>
        <v>148239.32999999999</v>
      </c>
      <c r="AA29" s="213"/>
      <c r="AB29" s="208"/>
      <c r="AC29" s="208"/>
    </row>
    <row r="30" spans="1:30" s="27" customFormat="1" hidden="1" x14ac:dyDescent="0.2">
      <c r="A30" s="208"/>
      <c r="B30" s="209"/>
      <c r="C30" s="210" t="s">
        <v>36</v>
      </c>
      <c r="D30" s="211"/>
      <c r="E30" s="202">
        <f t="shared" si="2"/>
        <v>386454.59999999992</v>
      </c>
      <c r="F30" s="211"/>
      <c r="G30" s="212">
        <f>IF(G13&gt;0,(tab!$J14*2),tab!$J14)</f>
        <v>19322.73</v>
      </c>
      <c r="H30" s="212">
        <f>IF(H13&gt;0,(tab!$J14*2),tab!$J14)</f>
        <v>19322.73</v>
      </c>
      <c r="I30" s="212">
        <f>IF(I13&gt;0,(tab!$J14*2),tab!$J14)</f>
        <v>19322.73</v>
      </c>
      <c r="J30" s="212">
        <f>IF(J13&gt;0,(tab!$J14*2),tab!$J14)</f>
        <v>19322.73</v>
      </c>
      <c r="K30" s="212">
        <f>IF(K13&gt;0,(tab!$J14*2),tab!$J14)</f>
        <v>19322.73</v>
      </c>
      <c r="L30" s="212">
        <f>IF(L13&gt;0,(tab!$J14*2),tab!$J14)</f>
        <v>19322.73</v>
      </c>
      <c r="M30" s="212">
        <f>IF(M13&gt;0,(tab!$J14*2),tab!$J14)</f>
        <v>19322.73</v>
      </c>
      <c r="N30" s="212">
        <f>IF(N13&gt;0,(tab!$J14*2),tab!$J14)</f>
        <v>19322.73</v>
      </c>
      <c r="O30" s="212">
        <f>IF(O13&gt;0,(tab!$J14*2),tab!$J14)</f>
        <v>19322.73</v>
      </c>
      <c r="P30" s="212">
        <f>IF(P13&gt;0,(tab!$J14*2),tab!$J14)</f>
        <v>19322.73</v>
      </c>
      <c r="Q30" s="212">
        <f>IF(Q13&gt;0,(tab!$J14*2),tab!$J14)</f>
        <v>19322.73</v>
      </c>
      <c r="R30" s="212">
        <f>IF(R13&gt;0,(tab!$J14*2),tab!$J14)</f>
        <v>19322.73</v>
      </c>
      <c r="S30" s="212">
        <f>IF(S13&gt;0,(tab!$J14*2),tab!$J14)</f>
        <v>19322.73</v>
      </c>
      <c r="T30" s="212">
        <f>IF(T13&gt;0,(tab!$J14*2),tab!$J14)</f>
        <v>19322.73</v>
      </c>
      <c r="U30" s="212">
        <f>IF(U13&gt;0,(tab!$J14*2),tab!$J14)</f>
        <v>19322.73</v>
      </c>
      <c r="V30" s="212">
        <f>IF(V13&gt;0,(tab!$J14*2),tab!$J14)</f>
        <v>19322.73</v>
      </c>
      <c r="W30" s="212">
        <f>IF(W13&gt;0,(tab!$J14*2),tab!$J14)</f>
        <v>19322.73</v>
      </c>
      <c r="X30" s="212">
        <f>IF(X13&gt;0,(tab!$J14*2),tab!$J14)</f>
        <v>19322.73</v>
      </c>
      <c r="Y30" s="212">
        <f>IF(Y13&gt;0,(tab!$J14*2),tab!$J14)</f>
        <v>19322.73</v>
      </c>
      <c r="Z30" s="212">
        <f>IF(Z13&gt;0,(tab!$J14*2),tab!$J14)</f>
        <v>19322.73</v>
      </c>
      <c r="AA30" s="213"/>
      <c r="AB30" s="208"/>
      <c r="AC30" s="208"/>
    </row>
    <row r="31" spans="1:30" x14ac:dyDescent="0.2">
      <c r="A31" s="159"/>
      <c r="B31" s="199"/>
      <c r="C31" s="159" t="s">
        <v>37</v>
      </c>
      <c r="D31" s="159"/>
      <c r="E31" s="202">
        <f t="shared" si="2"/>
        <v>0</v>
      </c>
      <c r="F31" s="159"/>
      <c r="G31" s="203">
        <f>tab!$J15*G11</f>
        <v>0</v>
      </c>
      <c r="H31" s="203">
        <f>tab!$J15*H11</f>
        <v>0</v>
      </c>
      <c r="I31" s="203">
        <f>tab!$J15*I11</f>
        <v>0</v>
      </c>
      <c r="J31" s="203">
        <f>tab!$J15*J11</f>
        <v>0</v>
      </c>
      <c r="K31" s="203">
        <f>tab!$J15*K11</f>
        <v>0</v>
      </c>
      <c r="L31" s="203">
        <f>tab!$J15*L11</f>
        <v>0</v>
      </c>
      <c r="M31" s="203">
        <f>tab!$J15*M11</f>
        <v>0</v>
      </c>
      <c r="N31" s="203">
        <f>tab!$J15*N11</f>
        <v>0</v>
      </c>
      <c r="O31" s="203">
        <f>tab!$J15*O11</f>
        <v>0</v>
      </c>
      <c r="P31" s="203">
        <f>tab!$J15*P11</f>
        <v>0</v>
      </c>
      <c r="Q31" s="203">
        <f>tab!$J15*Q11</f>
        <v>0</v>
      </c>
      <c r="R31" s="203">
        <f>tab!$J15*R11</f>
        <v>0</v>
      </c>
      <c r="S31" s="203">
        <f>tab!$J15*S11</f>
        <v>0</v>
      </c>
      <c r="T31" s="203">
        <f>tab!$J15*T11</f>
        <v>0</v>
      </c>
      <c r="U31" s="203">
        <f>tab!$J15*U11</f>
        <v>0</v>
      </c>
      <c r="V31" s="203">
        <f>tab!$J15*V11</f>
        <v>0</v>
      </c>
      <c r="W31" s="203">
        <f>tab!$J15*W11</f>
        <v>0</v>
      </c>
      <c r="X31" s="203">
        <f>tab!$J15*X11</f>
        <v>0</v>
      </c>
      <c r="Y31" s="203">
        <f>tab!$J15*Y11</f>
        <v>0</v>
      </c>
      <c r="Z31" s="203">
        <f>tab!$J15*Z11</f>
        <v>0</v>
      </c>
      <c r="AA31" s="200"/>
      <c r="AB31" s="159"/>
      <c r="AC31" s="159"/>
    </row>
    <row r="32" spans="1:30" x14ac:dyDescent="0.2">
      <c r="A32" s="159"/>
      <c r="B32" s="199"/>
      <c r="C32" s="159" t="s">
        <v>187</v>
      </c>
      <c r="D32" s="159"/>
      <c r="E32" s="202">
        <f t="shared" si="2"/>
        <v>0</v>
      </c>
      <c r="F32" s="159"/>
      <c r="G32" s="203">
        <f>IF(G14=0,0,(tab!$J16+(tab!$J17*G14)))</f>
        <v>0</v>
      </c>
      <c r="H32" s="203">
        <f>IF(H14=0,0,(tab!$J16+(tab!$J17*H14)))</f>
        <v>0</v>
      </c>
      <c r="I32" s="203">
        <f>IF(I14=0,0,(tab!$J16+(tab!$J17*I14)))</f>
        <v>0</v>
      </c>
      <c r="J32" s="203">
        <f>IF(J14=0,0,(tab!$J16+(tab!$J17*J14)))</f>
        <v>0</v>
      </c>
      <c r="K32" s="203">
        <f>IF(K14=0,0,(tab!$J16+(tab!$J17*K14)))</f>
        <v>0</v>
      </c>
      <c r="L32" s="203">
        <f>IF(L14=0,0,(tab!$J16+(tab!$J17*L14)))</f>
        <v>0</v>
      </c>
      <c r="M32" s="203">
        <f>IF(M14=0,0,(tab!$J16+(tab!$J17*M14)))</f>
        <v>0</v>
      </c>
      <c r="N32" s="203">
        <f>IF(N14=0,0,(tab!$J16+(tab!$J17*N14)))</f>
        <v>0</v>
      </c>
      <c r="O32" s="203">
        <f>IF(O14=0,0,(tab!$J16+(tab!$J17*O14)))</f>
        <v>0</v>
      </c>
      <c r="P32" s="203">
        <f>IF(P14=0,0,(tab!$J16+(tab!$J17*P14)))</f>
        <v>0</v>
      </c>
      <c r="Q32" s="203">
        <f>IF(Q14=0,0,(tab!$J16+(tab!$J17*Q14)))</f>
        <v>0</v>
      </c>
      <c r="R32" s="203">
        <f>IF(R14=0,0,(tab!$J16+(tab!$J17*R14)))</f>
        <v>0</v>
      </c>
      <c r="S32" s="203">
        <f>IF(S14=0,0,(tab!$J16+(tab!$J17*S14)))</f>
        <v>0</v>
      </c>
      <c r="T32" s="203">
        <f>IF(T14=0,0,(tab!$J16+(tab!$J17*T14)))</f>
        <v>0</v>
      </c>
      <c r="U32" s="203">
        <f>IF(U14=0,0,(tab!$J16+(tab!$J17*U14)))</f>
        <v>0</v>
      </c>
      <c r="V32" s="203">
        <f>IF(V14=0,0,(tab!$J16+(tab!$J17*V14)))</f>
        <v>0</v>
      </c>
      <c r="W32" s="203">
        <f>IF(W14=0,0,(tab!$J16+(tab!$J17*W14)))</f>
        <v>0</v>
      </c>
      <c r="X32" s="203">
        <f>IF(X14=0,0,(tab!$J16+(tab!$J17*X14)))</f>
        <v>0</v>
      </c>
      <c r="Y32" s="203">
        <f>IF(Y14=0,0,(tab!$J16+(tab!$J17*Y14)))</f>
        <v>0</v>
      </c>
      <c r="Z32" s="203">
        <f>IF(Z14=0,0,(tab!$J16+(tab!$J17*Z14)))</f>
        <v>0</v>
      </c>
      <c r="AA32" s="200"/>
      <c r="AB32" s="159"/>
      <c r="AC32" s="159"/>
    </row>
    <row r="33" spans="1:36" x14ac:dyDescent="0.2">
      <c r="A33" s="159"/>
      <c r="B33" s="199"/>
      <c r="C33" s="159"/>
      <c r="D33" s="159"/>
      <c r="E33" s="159"/>
      <c r="F33" s="159"/>
      <c r="G33" s="214">
        <f t="shared" ref="G33" si="6">G22+G23+G24+G31+G32</f>
        <v>0</v>
      </c>
      <c r="H33" s="214">
        <f t="shared" ref="H33:Z33" si="7">H22+H23+H24+H31+H32</f>
        <v>0</v>
      </c>
      <c r="I33" s="214">
        <f t="shared" si="7"/>
        <v>0</v>
      </c>
      <c r="J33" s="214">
        <f t="shared" si="7"/>
        <v>0</v>
      </c>
      <c r="K33" s="214">
        <f t="shared" si="7"/>
        <v>0</v>
      </c>
      <c r="L33" s="214">
        <f t="shared" si="7"/>
        <v>0</v>
      </c>
      <c r="M33" s="214">
        <f t="shared" si="7"/>
        <v>0</v>
      </c>
      <c r="N33" s="214">
        <f t="shared" si="7"/>
        <v>0</v>
      </c>
      <c r="O33" s="214">
        <f t="shared" si="7"/>
        <v>0</v>
      </c>
      <c r="P33" s="214">
        <f t="shared" si="7"/>
        <v>0</v>
      </c>
      <c r="Q33" s="214">
        <f t="shared" si="7"/>
        <v>0</v>
      </c>
      <c r="R33" s="214">
        <f t="shared" si="7"/>
        <v>0</v>
      </c>
      <c r="S33" s="214">
        <f t="shared" si="7"/>
        <v>0</v>
      </c>
      <c r="T33" s="214">
        <f t="shared" si="7"/>
        <v>0</v>
      </c>
      <c r="U33" s="214">
        <f t="shared" si="7"/>
        <v>0</v>
      </c>
      <c r="V33" s="214">
        <f t="shared" si="7"/>
        <v>0</v>
      </c>
      <c r="W33" s="214">
        <f t="shared" si="7"/>
        <v>0</v>
      </c>
      <c r="X33" s="214">
        <f t="shared" si="7"/>
        <v>0</v>
      </c>
      <c r="Y33" s="214">
        <f t="shared" si="7"/>
        <v>0</v>
      </c>
      <c r="Z33" s="214">
        <f t="shared" si="7"/>
        <v>0</v>
      </c>
      <c r="AA33" s="200"/>
      <c r="AB33" s="159"/>
      <c r="AC33" s="159"/>
    </row>
    <row r="34" spans="1:36" x14ac:dyDescent="0.2">
      <c r="A34" s="159"/>
      <c r="B34" s="199"/>
      <c r="C34" s="159"/>
      <c r="D34" s="159"/>
      <c r="E34" s="183"/>
      <c r="F34" s="159"/>
      <c r="G34" s="181"/>
      <c r="H34" s="181"/>
      <c r="I34" s="181"/>
      <c r="J34" s="181"/>
      <c r="K34" s="181"/>
      <c r="L34" s="181"/>
      <c r="M34" s="181"/>
      <c r="N34" s="181"/>
      <c r="O34" s="181"/>
      <c r="P34" s="181"/>
      <c r="Q34" s="181"/>
      <c r="R34" s="181"/>
      <c r="S34" s="181"/>
      <c r="T34" s="181"/>
      <c r="U34" s="181"/>
      <c r="V34" s="181"/>
      <c r="W34" s="181"/>
      <c r="X34" s="181"/>
      <c r="Y34" s="181"/>
      <c r="Z34" s="181"/>
      <c r="AA34" s="200"/>
      <c r="AB34" s="159"/>
      <c r="AC34" s="159"/>
    </row>
    <row r="35" spans="1:36" x14ac:dyDescent="0.2">
      <c r="A35" s="159"/>
      <c r="B35" s="199"/>
      <c r="C35" s="174" t="s">
        <v>42</v>
      </c>
      <c r="D35" s="174"/>
      <c r="E35" s="215">
        <f>SUM(G35:Z35)</f>
        <v>0</v>
      </c>
      <c r="F35" s="174"/>
      <c r="G35" s="216">
        <f>G20+G33</f>
        <v>0</v>
      </c>
      <c r="H35" s="216">
        <f t="shared" ref="H35:Z35" si="8">H20+H33</f>
        <v>0</v>
      </c>
      <c r="I35" s="216">
        <f t="shared" si="8"/>
        <v>0</v>
      </c>
      <c r="J35" s="216">
        <f t="shared" si="8"/>
        <v>0</v>
      </c>
      <c r="K35" s="216">
        <f t="shared" si="8"/>
        <v>0</v>
      </c>
      <c r="L35" s="216">
        <f t="shared" si="8"/>
        <v>0</v>
      </c>
      <c r="M35" s="216">
        <f t="shared" si="8"/>
        <v>0</v>
      </c>
      <c r="N35" s="216">
        <f t="shared" si="8"/>
        <v>0</v>
      </c>
      <c r="O35" s="216">
        <f t="shared" si="8"/>
        <v>0</v>
      </c>
      <c r="P35" s="216">
        <f t="shared" si="8"/>
        <v>0</v>
      </c>
      <c r="Q35" s="216">
        <f t="shared" si="8"/>
        <v>0</v>
      </c>
      <c r="R35" s="216">
        <f t="shared" si="8"/>
        <v>0</v>
      </c>
      <c r="S35" s="216">
        <f t="shared" si="8"/>
        <v>0</v>
      </c>
      <c r="T35" s="216">
        <f t="shared" si="8"/>
        <v>0</v>
      </c>
      <c r="U35" s="216">
        <f t="shared" si="8"/>
        <v>0</v>
      </c>
      <c r="V35" s="216">
        <f t="shared" si="8"/>
        <v>0</v>
      </c>
      <c r="W35" s="216">
        <f t="shared" si="8"/>
        <v>0</v>
      </c>
      <c r="X35" s="216">
        <f t="shared" si="8"/>
        <v>0</v>
      </c>
      <c r="Y35" s="216">
        <f t="shared" si="8"/>
        <v>0</v>
      </c>
      <c r="Z35" s="216">
        <f t="shared" si="8"/>
        <v>0</v>
      </c>
      <c r="AA35" s="200"/>
      <c r="AB35" s="159"/>
      <c r="AC35" s="159"/>
    </row>
    <row r="36" spans="1:36" s="7" customFormat="1" x14ac:dyDescent="0.2">
      <c r="A36" s="164"/>
      <c r="B36" s="217"/>
      <c r="C36" s="218"/>
      <c r="D36" s="218"/>
      <c r="E36" s="219"/>
      <c r="F36" s="218"/>
      <c r="G36" s="219"/>
      <c r="H36" s="219"/>
      <c r="I36" s="219"/>
      <c r="J36" s="219"/>
      <c r="K36" s="219"/>
      <c r="L36" s="219"/>
      <c r="M36" s="219"/>
      <c r="N36" s="219"/>
      <c r="O36" s="219"/>
      <c r="P36" s="219"/>
      <c r="Q36" s="219"/>
      <c r="R36" s="219"/>
      <c r="S36" s="219"/>
      <c r="T36" s="219"/>
      <c r="U36" s="219"/>
      <c r="V36" s="219"/>
      <c r="W36" s="219"/>
      <c r="X36" s="219"/>
      <c r="Y36" s="219"/>
      <c r="Z36" s="219"/>
      <c r="AA36" s="200"/>
      <c r="AB36" s="164"/>
      <c r="AC36" s="164"/>
    </row>
    <row r="37" spans="1:36" x14ac:dyDescent="0.2">
      <c r="A37" s="159"/>
      <c r="B37" s="199"/>
      <c r="C37" s="174" t="s">
        <v>43</v>
      </c>
      <c r="D37" s="159"/>
      <c r="E37" s="174"/>
      <c r="F37" s="159"/>
      <c r="G37" s="159"/>
      <c r="H37" s="159"/>
      <c r="I37" s="159"/>
      <c r="J37" s="159"/>
      <c r="K37" s="159"/>
      <c r="L37" s="159"/>
      <c r="M37" s="159"/>
      <c r="N37" s="159"/>
      <c r="O37" s="159"/>
      <c r="P37" s="159"/>
      <c r="Q37" s="159"/>
      <c r="R37" s="159"/>
      <c r="S37" s="159"/>
      <c r="T37" s="159"/>
      <c r="U37" s="159"/>
      <c r="V37" s="159"/>
      <c r="W37" s="159"/>
      <c r="X37" s="159"/>
      <c r="Y37" s="159"/>
      <c r="Z37" s="159"/>
      <c r="AA37" s="200"/>
      <c r="AB37" s="159"/>
      <c r="AC37" s="159"/>
    </row>
    <row r="38" spans="1:36" x14ac:dyDescent="0.2">
      <c r="A38" s="159"/>
      <c r="B38" s="199"/>
      <c r="C38" s="174"/>
      <c r="D38" s="159"/>
      <c r="E38" s="174"/>
      <c r="F38" s="159"/>
      <c r="G38" s="159"/>
      <c r="H38" s="159"/>
      <c r="I38" s="159"/>
      <c r="J38" s="159"/>
      <c r="K38" s="159"/>
      <c r="L38" s="159"/>
      <c r="M38" s="159"/>
      <c r="N38" s="159"/>
      <c r="O38" s="159"/>
      <c r="P38" s="159"/>
      <c r="Q38" s="159"/>
      <c r="R38" s="159"/>
      <c r="S38" s="159"/>
      <c r="T38" s="159"/>
      <c r="U38" s="159"/>
      <c r="V38" s="159"/>
      <c r="W38" s="159"/>
      <c r="X38" s="159"/>
      <c r="Y38" s="159"/>
      <c r="Z38" s="159"/>
      <c r="AA38" s="200"/>
      <c r="AB38" s="159"/>
      <c r="AC38" s="159"/>
    </row>
    <row r="39" spans="1:36" ht="15" x14ac:dyDescent="0.25">
      <c r="A39" s="159"/>
      <c r="B39" s="199"/>
      <c r="C39" s="159" t="s">
        <v>191</v>
      </c>
      <c r="D39" s="159"/>
      <c r="E39" s="144" t="s">
        <v>213</v>
      </c>
      <c r="F39" s="159"/>
      <c r="G39" s="61">
        <v>100</v>
      </c>
      <c r="H39" s="61">
        <v>100</v>
      </c>
      <c r="I39" s="61">
        <v>100</v>
      </c>
      <c r="J39" s="61">
        <v>100</v>
      </c>
      <c r="K39" s="61">
        <v>100</v>
      </c>
      <c r="L39" s="61">
        <v>100</v>
      </c>
      <c r="M39" s="61">
        <v>100</v>
      </c>
      <c r="N39" s="61">
        <v>100</v>
      </c>
      <c r="O39" s="61">
        <v>100</v>
      </c>
      <c r="P39" s="61">
        <v>100</v>
      </c>
      <c r="Q39" s="61">
        <v>100</v>
      </c>
      <c r="R39" s="61">
        <v>100</v>
      </c>
      <c r="S39" s="61">
        <v>100</v>
      </c>
      <c r="T39" s="61">
        <v>100</v>
      </c>
      <c r="U39" s="61">
        <v>100</v>
      </c>
      <c r="V39" s="61">
        <v>100</v>
      </c>
      <c r="W39" s="61">
        <v>100</v>
      </c>
      <c r="X39" s="61">
        <v>100</v>
      </c>
      <c r="Y39" s="61">
        <v>100</v>
      </c>
      <c r="Z39" s="61">
        <v>100</v>
      </c>
      <c r="AA39" s="200"/>
      <c r="AB39" s="159"/>
      <c r="AC39" s="159"/>
      <c r="AD39" s="7"/>
      <c r="AE39" s="7"/>
      <c r="AF39" s="7"/>
      <c r="AG39" s="7"/>
      <c r="AH39" s="7"/>
      <c r="AI39" s="7"/>
      <c r="AJ39" s="7"/>
    </row>
    <row r="40" spans="1:36" ht="15" x14ac:dyDescent="0.25">
      <c r="A40" s="159"/>
      <c r="B40" s="199"/>
      <c r="C40" s="159" t="s">
        <v>192</v>
      </c>
      <c r="D40" s="159"/>
      <c r="E40" s="144" t="s">
        <v>213</v>
      </c>
      <c r="F40" s="159"/>
      <c r="G40" s="61">
        <v>101</v>
      </c>
      <c r="H40" s="61">
        <v>101</v>
      </c>
      <c r="I40" s="61">
        <v>101</v>
      </c>
      <c r="J40" s="61">
        <v>101</v>
      </c>
      <c r="K40" s="61">
        <v>101</v>
      </c>
      <c r="L40" s="61">
        <v>101</v>
      </c>
      <c r="M40" s="61">
        <v>101</v>
      </c>
      <c r="N40" s="61">
        <v>101</v>
      </c>
      <c r="O40" s="61">
        <v>101</v>
      </c>
      <c r="P40" s="61">
        <v>101</v>
      </c>
      <c r="Q40" s="61">
        <v>101</v>
      </c>
      <c r="R40" s="61">
        <v>101</v>
      </c>
      <c r="S40" s="61">
        <v>101</v>
      </c>
      <c r="T40" s="61">
        <v>101</v>
      </c>
      <c r="U40" s="61">
        <v>101</v>
      </c>
      <c r="V40" s="61">
        <v>101</v>
      </c>
      <c r="W40" s="61">
        <v>101</v>
      </c>
      <c r="X40" s="61">
        <v>101</v>
      </c>
      <c r="Y40" s="61">
        <v>101</v>
      </c>
      <c r="Z40" s="61">
        <v>101</v>
      </c>
      <c r="AA40" s="200"/>
      <c r="AB40" s="159"/>
      <c r="AC40" s="164"/>
      <c r="AD40" s="7"/>
      <c r="AE40" s="7"/>
      <c r="AF40" s="7"/>
      <c r="AG40" s="7"/>
      <c r="AH40" s="7"/>
      <c r="AI40" s="7"/>
      <c r="AJ40" s="7"/>
    </row>
    <row r="41" spans="1:36" x14ac:dyDescent="0.2">
      <c r="A41" s="159"/>
      <c r="B41" s="199"/>
      <c r="C41" s="159"/>
      <c r="D41" s="159"/>
      <c r="E41" s="49"/>
      <c r="F41" s="159"/>
      <c r="G41" s="14"/>
      <c r="H41" s="14"/>
      <c r="I41" s="14"/>
      <c r="J41" s="14"/>
      <c r="K41" s="14"/>
      <c r="L41" s="14"/>
      <c r="M41" s="14"/>
      <c r="N41" s="14"/>
      <c r="O41" s="14"/>
      <c r="P41" s="14"/>
      <c r="Q41" s="14"/>
      <c r="R41" s="14"/>
      <c r="S41" s="14"/>
      <c r="T41" s="14"/>
      <c r="U41" s="14"/>
      <c r="V41" s="14"/>
      <c r="W41" s="14"/>
      <c r="X41" s="14"/>
      <c r="Y41" s="14"/>
      <c r="Z41" s="14"/>
      <c r="AA41" s="200"/>
      <c r="AB41" s="159"/>
      <c r="AC41" s="220"/>
    </row>
    <row r="42" spans="1:36" x14ac:dyDescent="0.2">
      <c r="A42" s="159"/>
      <c r="B42" s="199"/>
      <c r="C42" s="159" t="s">
        <v>193</v>
      </c>
      <c r="D42" s="159"/>
      <c r="E42" s="39"/>
      <c r="F42" s="159"/>
      <c r="G42" s="83">
        <f>G35</f>
        <v>0</v>
      </c>
      <c r="H42" s="83">
        <f t="shared" ref="H42:Z42" si="9">H35</f>
        <v>0</v>
      </c>
      <c r="I42" s="83">
        <f t="shared" si="9"/>
        <v>0</v>
      </c>
      <c r="J42" s="83">
        <f t="shared" si="9"/>
        <v>0</v>
      </c>
      <c r="K42" s="83">
        <f t="shared" si="9"/>
        <v>0</v>
      </c>
      <c r="L42" s="83">
        <f t="shared" si="9"/>
        <v>0</v>
      </c>
      <c r="M42" s="83">
        <f t="shared" si="9"/>
        <v>0</v>
      </c>
      <c r="N42" s="83">
        <f t="shared" si="9"/>
        <v>0</v>
      </c>
      <c r="O42" s="83">
        <f t="shared" si="9"/>
        <v>0</v>
      </c>
      <c r="P42" s="83">
        <f t="shared" si="9"/>
        <v>0</v>
      </c>
      <c r="Q42" s="83">
        <f t="shared" si="9"/>
        <v>0</v>
      </c>
      <c r="R42" s="83">
        <f t="shared" si="9"/>
        <v>0</v>
      </c>
      <c r="S42" s="83">
        <f t="shared" si="9"/>
        <v>0</v>
      </c>
      <c r="T42" s="83">
        <f t="shared" si="9"/>
        <v>0</v>
      </c>
      <c r="U42" s="83">
        <f t="shared" si="9"/>
        <v>0</v>
      </c>
      <c r="V42" s="83">
        <f t="shared" si="9"/>
        <v>0</v>
      </c>
      <c r="W42" s="83">
        <f t="shared" si="9"/>
        <v>0</v>
      </c>
      <c r="X42" s="83">
        <f t="shared" si="9"/>
        <v>0</v>
      </c>
      <c r="Y42" s="83">
        <f t="shared" si="9"/>
        <v>0</v>
      </c>
      <c r="Z42" s="83">
        <f t="shared" si="9"/>
        <v>0</v>
      </c>
      <c r="AA42" s="200"/>
      <c r="AB42" s="159"/>
      <c r="AC42" s="220"/>
    </row>
    <row r="43" spans="1:36" x14ac:dyDescent="0.2">
      <c r="A43" s="159"/>
      <c r="B43" s="199"/>
      <c r="C43" s="159" t="s">
        <v>194</v>
      </c>
      <c r="D43" s="159"/>
      <c r="E43" s="50"/>
      <c r="F43" s="159"/>
      <c r="G43" s="221">
        <f>G10</f>
        <v>0</v>
      </c>
      <c r="H43" s="221">
        <f t="shared" ref="H43:Z43" si="10">H10</f>
        <v>0</v>
      </c>
      <c r="I43" s="221">
        <f t="shared" si="10"/>
        <v>0</v>
      </c>
      <c r="J43" s="221">
        <f t="shared" si="10"/>
        <v>0</v>
      </c>
      <c r="K43" s="221">
        <f t="shared" si="10"/>
        <v>0</v>
      </c>
      <c r="L43" s="221">
        <f t="shared" si="10"/>
        <v>0</v>
      </c>
      <c r="M43" s="221">
        <f t="shared" si="10"/>
        <v>0</v>
      </c>
      <c r="N43" s="221">
        <f t="shared" si="10"/>
        <v>0</v>
      </c>
      <c r="O43" s="221">
        <f t="shared" si="10"/>
        <v>0</v>
      </c>
      <c r="P43" s="221">
        <f t="shared" si="10"/>
        <v>0</v>
      </c>
      <c r="Q43" s="221">
        <f t="shared" si="10"/>
        <v>0</v>
      </c>
      <c r="R43" s="221">
        <f t="shared" si="10"/>
        <v>0</v>
      </c>
      <c r="S43" s="221">
        <f t="shared" si="10"/>
        <v>0</v>
      </c>
      <c r="T43" s="221">
        <f t="shared" si="10"/>
        <v>0</v>
      </c>
      <c r="U43" s="221">
        <f t="shared" si="10"/>
        <v>0</v>
      </c>
      <c r="V43" s="221">
        <f t="shared" si="10"/>
        <v>0</v>
      </c>
      <c r="W43" s="221">
        <f t="shared" si="10"/>
        <v>0</v>
      </c>
      <c r="X43" s="221">
        <f t="shared" si="10"/>
        <v>0</v>
      </c>
      <c r="Y43" s="221">
        <f t="shared" si="10"/>
        <v>0</v>
      </c>
      <c r="Z43" s="221">
        <f t="shared" si="10"/>
        <v>0</v>
      </c>
      <c r="AA43" s="200"/>
      <c r="AB43" s="159"/>
      <c r="AC43" s="220"/>
    </row>
    <row r="44" spans="1:36" x14ac:dyDescent="0.2">
      <c r="A44" s="159"/>
      <c r="B44" s="199"/>
      <c r="C44" s="175"/>
      <c r="D44" s="159"/>
      <c r="E44" s="51"/>
      <c r="F44" s="159"/>
      <c r="G44" s="175"/>
      <c r="H44" s="175"/>
      <c r="I44" s="175"/>
      <c r="J44" s="175"/>
      <c r="K44" s="175"/>
      <c r="L44" s="175"/>
      <c r="M44" s="175"/>
      <c r="N44" s="175"/>
      <c r="O44" s="175"/>
      <c r="P44" s="175"/>
      <c r="Q44" s="175"/>
      <c r="R44" s="175"/>
      <c r="S44" s="175"/>
      <c r="T44" s="175"/>
      <c r="U44" s="175"/>
      <c r="V44" s="175"/>
      <c r="W44" s="175"/>
      <c r="X44" s="175"/>
      <c r="Y44" s="175"/>
      <c r="Z44" s="175"/>
      <c r="AA44" s="200"/>
      <c r="AB44" s="159"/>
      <c r="AC44" s="220"/>
    </row>
    <row r="45" spans="1:36" x14ac:dyDescent="0.2">
      <c r="A45" s="159"/>
      <c r="B45" s="199"/>
      <c r="C45" s="175" t="s">
        <v>195</v>
      </c>
      <c r="D45" s="159"/>
      <c r="E45" s="51"/>
      <c r="F45" s="159"/>
      <c r="G45" s="84">
        <f>G35</f>
        <v>0</v>
      </c>
      <c r="H45" s="84">
        <f t="shared" ref="H45:Z45" si="11">H35</f>
        <v>0</v>
      </c>
      <c r="I45" s="84">
        <f t="shared" si="11"/>
        <v>0</v>
      </c>
      <c r="J45" s="84">
        <f t="shared" si="11"/>
        <v>0</v>
      </c>
      <c r="K45" s="84">
        <f t="shared" si="11"/>
        <v>0</v>
      </c>
      <c r="L45" s="84">
        <f t="shared" si="11"/>
        <v>0</v>
      </c>
      <c r="M45" s="84">
        <f t="shared" si="11"/>
        <v>0</v>
      </c>
      <c r="N45" s="84">
        <f t="shared" si="11"/>
        <v>0</v>
      </c>
      <c r="O45" s="84">
        <f t="shared" si="11"/>
        <v>0</v>
      </c>
      <c r="P45" s="84">
        <f t="shared" si="11"/>
        <v>0</v>
      </c>
      <c r="Q45" s="84">
        <f t="shared" si="11"/>
        <v>0</v>
      </c>
      <c r="R45" s="84">
        <f t="shared" si="11"/>
        <v>0</v>
      </c>
      <c r="S45" s="84">
        <f t="shared" si="11"/>
        <v>0</v>
      </c>
      <c r="T45" s="84">
        <f t="shared" si="11"/>
        <v>0</v>
      </c>
      <c r="U45" s="84">
        <f t="shared" si="11"/>
        <v>0</v>
      </c>
      <c r="V45" s="84">
        <f t="shared" si="11"/>
        <v>0</v>
      </c>
      <c r="W45" s="84">
        <f t="shared" si="11"/>
        <v>0</v>
      </c>
      <c r="X45" s="84">
        <f t="shared" si="11"/>
        <v>0</v>
      </c>
      <c r="Y45" s="84">
        <f t="shared" si="11"/>
        <v>0</v>
      </c>
      <c r="Z45" s="84">
        <f t="shared" si="11"/>
        <v>0</v>
      </c>
      <c r="AA45" s="200"/>
      <c r="AB45" s="159"/>
      <c r="AC45" s="222"/>
    </row>
    <row r="46" spans="1:36" x14ac:dyDescent="0.2">
      <c r="A46" s="159"/>
      <c r="B46" s="199"/>
      <c r="C46" s="175" t="s">
        <v>196</v>
      </c>
      <c r="D46" s="159"/>
      <c r="E46" s="52"/>
      <c r="F46" s="159"/>
      <c r="G46" s="81">
        <f>G10</f>
        <v>0</v>
      </c>
      <c r="H46" s="81">
        <f t="shared" ref="H46:Z46" si="12">H10</f>
        <v>0</v>
      </c>
      <c r="I46" s="81">
        <f t="shared" si="12"/>
        <v>0</v>
      </c>
      <c r="J46" s="81">
        <f t="shared" si="12"/>
        <v>0</v>
      </c>
      <c r="K46" s="81">
        <f t="shared" si="12"/>
        <v>0</v>
      </c>
      <c r="L46" s="81">
        <f t="shared" si="12"/>
        <v>0</v>
      </c>
      <c r="M46" s="81">
        <f t="shared" si="12"/>
        <v>0</v>
      </c>
      <c r="N46" s="81">
        <f t="shared" si="12"/>
        <v>0</v>
      </c>
      <c r="O46" s="81">
        <f t="shared" si="12"/>
        <v>0</v>
      </c>
      <c r="P46" s="81">
        <f t="shared" si="12"/>
        <v>0</v>
      </c>
      <c r="Q46" s="81">
        <f t="shared" si="12"/>
        <v>0</v>
      </c>
      <c r="R46" s="81">
        <f t="shared" si="12"/>
        <v>0</v>
      </c>
      <c r="S46" s="81">
        <f t="shared" si="12"/>
        <v>0</v>
      </c>
      <c r="T46" s="81">
        <f t="shared" si="12"/>
        <v>0</v>
      </c>
      <c r="U46" s="81">
        <f t="shared" si="12"/>
        <v>0</v>
      </c>
      <c r="V46" s="81">
        <f t="shared" si="12"/>
        <v>0</v>
      </c>
      <c r="W46" s="81">
        <f t="shared" si="12"/>
        <v>0</v>
      </c>
      <c r="X46" s="81">
        <f t="shared" si="12"/>
        <v>0</v>
      </c>
      <c r="Y46" s="81">
        <f t="shared" si="12"/>
        <v>0</v>
      </c>
      <c r="Z46" s="81">
        <f t="shared" si="12"/>
        <v>0</v>
      </c>
      <c r="AA46" s="200"/>
      <c r="AB46" s="159"/>
      <c r="AC46" s="178"/>
    </row>
    <row r="47" spans="1:36" x14ac:dyDescent="0.2">
      <c r="A47" s="159"/>
      <c r="B47" s="199"/>
      <c r="C47" s="175"/>
      <c r="D47" s="159"/>
      <c r="E47" s="53"/>
      <c r="F47" s="159"/>
      <c r="G47" s="175"/>
      <c r="H47" s="175"/>
      <c r="I47" s="175"/>
      <c r="J47" s="175"/>
      <c r="K47" s="175"/>
      <c r="L47" s="175"/>
      <c r="M47" s="175"/>
      <c r="N47" s="175"/>
      <c r="O47" s="175"/>
      <c r="P47" s="175"/>
      <c r="Q47" s="175"/>
      <c r="R47" s="175"/>
      <c r="S47" s="175"/>
      <c r="T47" s="175"/>
      <c r="U47" s="175"/>
      <c r="V47" s="175"/>
      <c r="W47" s="175"/>
      <c r="X47" s="175"/>
      <c r="Y47" s="175"/>
      <c r="Z47" s="175"/>
      <c r="AA47" s="200"/>
      <c r="AB47" s="159"/>
      <c r="AC47" s="178"/>
    </row>
    <row r="48" spans="1:36" x14ac:dyDescent="0.2">
      <c r="A48" s="159"/>
      <c r="B48" s="199"/>
      <c r="C48" s="175" t="s">
        <v>197</v>
      </c>
      <c r="D48" s="159"/>
      <c r="E48" s="39"/>
      <c r="F48" s="159"/>
      <c r="G48" s="80">
        <f>IF(G10=0,0,G45/G46)</f>
        <v>0</v>
      </c>
      <c r="H48" s="80">
        <f t="shared" ref="H48:Z48" si="13">IF(H10=0,0,H45/H46)</f>
        <v>0</v>
      </c>
      <c r="I48" s="80">
        <f t="shared" si="13"/>
        <v>0</v>
      </c>
      <c r="J48" s="80">
        <f t="shared" si="13"/>
        <v>0</v>
      </c>
      <c r="K48" s="80">
        <f t="shared" si="13"/>
        <v>0</v>
      </c>
      <c r="L48" s="80">
        <f t="shared" si="13"/>
        <v>0</v>
      </c>
      <c r="M48" s="80">
        <f t="shared" si="13"/>
        <v>0</v>
      </c>
      <c r="N48" s="80">
        <f t="shared" si="13"/>
        <v>0</v>
      </c>
      <c r="O48" s="80">
        <f t="shared" si="13"/>
        <v>0</v>
      </c>
      <c r="P48" s="80">
        <f t="shared" si="13"/>
        <v>0</v>
      </c>
      <c r="Q48" s="80">
        <f t="shared" si="13"/>
        <v>0</v>
      </c>
      <c r="R48" s="80">
        <f t="shared" si="13"/>
        <v>0</v>
      </c>
      <c r="S48" s="80">
        <f t="shared" si="13"/>
        <v>0</v>
      </c>
      <c r="T48" s="80">
        <f t="shared" si="13"/>
        <v>0</v>
      </c>
      <c r="U48" s="80">
        <f t="shared" si="13"/>
        <v>0</v>
      </c>
      <c r="V48" s="80">
        <f t="shared" si="13"/>
        <v>0</v>
      </c>
      <c r="W48" s="80">
        <f t="shared" si="13"/>
        <v>0</v>
      </c>
      <c r="X48" s="80">
        <f t="shared" si="13"/>
        <v>0</v>
      </c>
      <c r="Y48" s="80">
        <f t="shared" si="13"/>
        <v>0</v>
      </c>
      <c r="Z48" s="80">
        <f t="shared" si="13"/>
        <v>0</v>
      </c>
      <c r="AA48" s="200"/>
      <c r="AB48" s="159"/>
      <c r="AC48" s="178"/>
    </row>
    <row r="49" spans="1:29" x14ac:dyDescent="0.2">
      <c r="A49" s="159"/>
      <c r="B49" s="199"/>
      <c r="C49" s="175" t="s">
        <v>198</v>
      </c>
      <c r="D49" s="159"/>
      <c r="E49" s="39"/>
      <c r="F49" s="159"/>
      <c r="G49" s="80">
        <f>IF(G10=0,0,((G39/G40*G42)/G43))</f>
        <v>0</v>
      </c>
      <c r="H49" s="80">
        <f t="shared" ref="H49:Z49" si="14">IF(H10=0,0,((H39/H40*H42)/H43))</f>
        <v>0</v>
      </c>
      <c r="I49" s="80">
        <f t="shared" si="14"/>
        <v>0</v>
      </c>
      <c r="J49" s="80">
        <f t="shared" si="14"/>
        <v>0</v>
      </c>
      <c r="K49" s="80">
        <f t="shared" si="14"/>
        <v>0</v>
      </c>
      <c r="L49" s="80">
        <f t="shared" si="14"/>
        <v>0</v>
      </c>
      <c r="M49" s="80">
        <f t="shared" si="14"/>
        <v>0</v>
      </c>
      <c r="N49" s="80">
        <f t="shared" si="14"/>
        <v>0</v>
      </c>
      <c r="O49" s="80">
        <f t="shared" si="14"/>
        <v>0</v>
      </c>
      <c r="P49" s="80">
        <f t="shared" si="14"/>
        <v>0</v>
      </c>
      <c r="Q49" s="80">
        <f t="shared" si="14"/>
        <v>0</v>
      </c>
      <c r="R49" s="80">
        <f t="shared" si="14"/>
        <v>0</v>
      </c>
      <c r="S49" s="80">
        <f t="shared" si="14"/>
        <v>0</v>
      </c>
      <c r="T49" s="80">
        <f t="shared" si="14"/>
        <v>0</v>
      </c>
      <c r="U49" s="80">
        <f t="shared" si="14"/>
        <v>0</v>
      </c>
      <c r="V49" s="80">
        <f t="shared" si="14"/>
        <v>0</v>
      </c>
      <c r="W49" s="80">
        <f t="shared" si="14"/>
        <v>0</v>
      </c>
      <c r="X49" s="80">
        <f t="shared" si="14"/>
        <v>0</v>
      </c>
      <c r="Y49" s="80">
        <f t="shared" si="14"/>
        <v>0</v>
      </c>
      <c r="Z49" s="80">
        <f t="shared" si="14"/>
        <v>0</v>
      </c>
      <c r="AA49" s="200"/>
      <c r="AB49" s="159"/>
      <c r="AC49" s="159"/>
    </row>
    <row r="50" spans="1:29" x14ac:dyDescent="0.2">
      <c r="A50" s="159"/>
      <c r="B50" s="199"/>
      <c r="C50" s="175" t="s">
        <v>44</v>
      </c>
      <c r="D50" s="208"/>
      <c r="E50" s="54"/>
      <c r="F50" s="208"/>
      <c r="G50" s="82">
        <f>tab!$J82</f>
        <v>0.75</v>
      </c>
      <c r="H50" s="82">
        <f>tab!$J82</f>
        <v>0.75</v>
      </c>
      <c r="I50" s="82">
        <f>tab!$J82</f>
        <v>0.75</v>
      </c>
      <c r="J50" s="82">
        <f>tab!$J82</f>
        <v>0.75</v>
      </c>
      <c r="K50" s="82">
        <f>tab!$J82</f>
        <v>0.75</v>
      </c>
      <c r="L50" s="82">
        <f>tab!$J82</f>
        <v>0.75</v>
      </c>
      <c r="M50" s="82">
        <f>tab!$J82</f>
        <v>0.75</v>
      </c>
      <c r="N50" s="82">
        <f>tab!$J82</f>
        <v>0.75</v>
      </c>
      <c r="O50" s="82">
        <f>tab!$J82</f>
        <v>0.75</v>
      </c>
      <c r="P50" s="82">
        <f>tab!$J82</f>
        <v>0.75</v>
      </c>
      <c r="Q50" s="82">
        <f>tab!$J82</f>
        <v>0.75</v>
      </c>
      <c r="R50" s="82">
        <f>tab!$J82</f>
        <v>0.75</v>
      </c>
      <c r="S50" s="82">
        <f>tab!$J82</f>
        <v>0.75</v>
      </c>
      <c r="T50" s="82">
        <f>tab!$J82</f>
        <v>0.75</v>
      </c>
      <c r="U50" s="82">
        <f>tab!$J82</f>
        <v>0.75</v>
      </c>
      <c r="V50" s="82">
        <f>tab!$J82</f>
        <v>0.75</v>
      </c>
      <c r="W50" s="82">
        <f>tab!$J82</f>
        <v>0.75</v>
      </c>
      <c r="X50" s="82">
        <f>tab!$J82</f>
        <v>0.75</v>
      </c>
      <c r="Y50" s="82">
        <f>tab!$J82</f>
        <v>0.75</v>
      </c>
      <c r="Z50" s="82">
        <f>tab!$J82</f>
        <v>0.75</v>
      </c>
      <c r="AA50" s="200"/>
      <c r="AB50" s="159"/>
      <c r="AC50" s="159"/>
    </row>
    <row r="51" spans="1:29" x14ac:dyDescent="0.2">
      <c r="A51" s="159"/>
      <c r="B51" s="199"/>
      <c r="C51" s="175"/>
      <c r="D51" s="208"/>
      <c r="E51" s="55"/>
      <c r="F51" s="208"/>
      <c r="G51" s="175"/>
      <c r="H51" s="175"/>
      <c r="I51" s="175"/>
      <c r="J51" s="175"/>
      <c r="K51" s="175"/>
      <c r="L51" s="175"/>
      <c r="M51" s="175"/>
      <c r="N51" s="175"/>
      <c r="O51" s="175"/>
      <c r="P51" s="175"/>
      <c r="Q51" s="175"/>
      <c r="R51" s="175"/>
      <c r="S51" s="175"/>
      <c r="T51" s="175"/>
      <c r="U51" s="175"/>
      <c r="V51" s="175"/>
      <c r="W51" s="175"/>
      <c r="X51" s="175"/>
      <c r="Y51" s="175"/>
      <c r="Z51" s="175"/>
      <c r="AA51" s="200"/>
      <c r="AB51" s="159"/>
      <c r="AC51" s="159"/>
    </row>
    <row r="52" spans="1:29" s="7" customFormat="1" x14ac:dyDescent="0.2">
      <c r="A52" s="164"/>
      <c r="B52" s="217"/>
      <c r="C52" s="175" t="s">
        <v>199</v>
      </c>
      <c r="D52" s="208"/>
      <c r="E52" s="54"/>
      <c r="F52" s="208"/>
      <c r="G52" s="85">
        <f>(G49-G48)*G46</f>
        <v>0</v>
      </c>
      <c r="H52" s="85">
        <f t="shared" ref="H52:Z52" si="15">(H49-H48)*H46</f>
        <v>0</v>
      </c>
      <c r="I52" s="85">
        <f t="shared" si="15"/>
        <v>0</v>
      </c>
      <c r="J52" s="85">
        <f t="shared" si="15"/>
        <v>0</v>
      </c>
      <c r="K52" s="85">
        <f t="shared" si="15"/>
        <v>0</v>
      </c>
      <c r="L52" s="85">
        <f t="shared" si="15"/>
        <v>0</v>
      </c>
      <c r="M52" s="85">
        <f t="shared" si="15"/>
        <v>0</v>
      </c>
      <c r="N52" s="85">
        <f t="shared" si="15"/>
        <v>0</v>
      </c>
      <c r="O52" s="85">
        <f t="shared" si="15"/>
        <v>0</v>
      </c>
      <c r="P52" s="85">
        <f t="shared" si="15"/>
        <v>0</v>
      </c>
      <c r="Q52" s="85">
        <f t="shared" si="15"/>
        <v>0</v>
      </c>
      <c r="R52" s="85">
        <f t="shared" si="15"/>
        <v>0</v>
      </c>
      <c r="S52" s="85">
        <f t="shared" si="15"/>
        <v>0</v>
      </c>
      <c r="T52" s="85">
        <f t="shared" si="15"/>
        <v>0</v>
      </c>
      <c r="U52" s="85">
        <f t="shared" si="15"/>
        <v>0</v>
      </c>
      <c r="V52" s="85">
        <f t="shared" si="15"/>
        <v>0</v>
      </c>
      <c r="W52" s="85">
        <f t="shared" si="15"/>
        <v>0</v>
      </c>
      <c r="X52" s="85">
        <f t="shared" si="15"/>
        <v>0</v>
      </c>
      <c r="Y52" s="85">
        <f t="shared" si="15"/>
        <v>0</v>
      </c>
      <c r="Z52" s="85">
        <f t="shared" si="15"/>
        <v>0</v>
      </c>
      <c r="AA52" s="223"/>
      <c r="AB52" s="164"/>
      <c r="AC52" s="224"/>
    </row>
    <row r="53" spans="1:29" x14ac:dyDescent="0.2">
      <c r="A53" s="159"/>
      <c r="B53" s="199"/>
      <c r="C53" s="175" t="s">
        <v>200</v>
      </c>
      <c r="D53" s="211"/>
      <c r="E53" s="56"/>
      <c r="F53" s="211"/>
      <c r="G53" s="85">
        <f>(G49-G48)*G50*G46</f>
        <v>0</v>
      </c>
      <c r="H53" s="85">
        <f t="shared" ref="H53:Z53" si="16">(H49-H48)*H50*H46</f>
        <v>0</v>
      </c>
      <c r="I53" s="85">
        <f t="shared" si="16"/>
        <v>0</v>
      </c>
      <c r="J53" s="85">
        <f t="shared" si="16"/>
        <v>0</v>
      </c>
      <c r="K53" s="85">
        <f t="shared" si="16"/>
        <v>0</v>
      </c>
      <c r="L53" s="85">
        <f t="shared" si="16"/>
        <v>0</v>
      </c>
      <c r="M53" s="85">
        <f t="shared" si="16"/>
        <v>0</v>
      </c>
      <c r="N53" s="85">
        <f t="shared" si="16"/>
        <v>0</v>
      </c>
      <c r="O53" s="85">
        <f t="shared" si="16"/>
        <v>0</v>
      </c>
      <c r="P53" s="85">
        <f t="shared" si="16"/>
        <v>0</v>
      </c>
      <c r="Q53" s="85">
        <f t="shared" si="16"/>
        <v>0</v>
      </c>
      <c r="R53" s="85">
        <f t="shared" si="16"/>
        <v>0</v>
      </c>
      <c r="S53" s="85">
        <f t="shared" si="16"/>
        <v>0</v>
      </c>
      <c r="T53" s="85">
        <f t="shared" si="16"/>
        <v>0</v>
      </c>
      <c r="U53" s="85">
        <f t="shared" si="16"/>
        <v>0</v>
      </c>
      <c r="V53" s="85">
        <f t="shared" si="16"/>
        <v>0</v>
      </c>
      <c r="W53" s="85">
        <f t="shared" si="16"/>
        <v>0</v>
      </c>
      <c r="X53" s="85">
        <f t="shared" si="16"/>
        <v>0</v>
      </c>
      <c r="Y53" s="85">
        <f t="shared" si="16"/>
        <v>0</v>
      </c>
      <c r="Z53" s="85">
        <f t="shared" si="16"/>
        <v>0</v>
      </c>
      <c r="AA53" s="200"/>
      <c r="AB53" s="159"/>
      <c r="AC53" s="178"/>
    </row>
    <row r="54" spans="1:29" x14ac:dyDescent="0.2">
      <c r="A54" s="159"/>
      <c r="B54" s="199"/>
      <c r="C54" s="225" t="s">
        <v>45</v>
      </c>
      <c r="D54" s="208"/>
      <c r="E54" s="55"/>
      <c r="F54" s="208"/>
      <c r="G54" s="86">
        <f>(((G48*G46)+G53)-(G49*G46))</f>
        <v>0</v>
      </c>
      <c r="H54" s="86">
        <f t="shared" ref="H54:Z54" si="17">(((H48*H46)+H53)-(H49*H46))</f>
        <v>0</v>
      </c>
      <c r="I54" s="86">
        <f t="shared" si="17"/>
        <v>0</v>
      </c>
      <c r="J54" s="86">
        <f t="shared" si="17"/>
        <v>0</v>
      </c>
      <c r="K54" s="86">
        <f t="shared" si="17"/>
        <v>0</v>
      </c>
      <c r="L54" s="86">
        <f t="shared" si="17"/>
        <v>0</v>
      </c>
      <c r="M54" s="86">
        <f t="shared" si="17"/>
        <v>0</v>
      </c>
      <c r="N54" s="86">
        <f t="shared" si="17"/>
        <v>0</v>
      </c>
      <c r="O54" s="86">
        <f t="shared" si="17"/>
        <v>0</v>
      </c>
      <c r="P54" s="86">
        <f t="shared" si="17"/>
        <v>0</v>
      </c>
      <c r="Q54" s="86">
        <f t="shared" si="17"/>
        <v>0</v>
      </c>
      <c r="R54" s="86">
        <f t="shared" si="17"/>
        <v>0</v>
      </c>
      <c r="S54" s="86">
        <f t="shared" si="17"/>
        <v>0</v>
      </c>
      <c r="T54" s="86">
        <f t="shared" si="17"/>
        <v>0</v>
      </c>
      <c r="U54" s="86">
        <f t="shared" si="17"/>
        <v>0</v>
      </c>
      <c r="V54" s="86">
        <f t="shared" si="17"/>
        <v>0</v>
      </c>
      <c r="W54" s="86">
        <f t="shared" si="17"/>
        <v>0</v>
      </c>
      <c r="X54" s="86">
        <f t="shared" si="17"/>
        <v>0</v>
      </c>
      <c r="Y54" s="86">
        <f t="shared" si="17"/>
        <v>0</v>
      </c>
      <c r="Z54" s="86">
        <f t="shared" si="17"/>
        <v>0</v>
      </c>
      <c r="AA54" s="200"/>
      <c r="AB54" s="159"/>
      <c r="AC54" s="178"/>
    </row>
    <row r="55" spans="1:29" s="7" customFormat="1" x14ac:dyDescent="0.2">
      <c r="A55" s="164"/>
      <c r="B55" s="217"/>
      <c r="C55" s="225" t="s">
        <v>46</v>
      </c>
      <c r="D55" s="208"/>
      <c r="E55" s="54"/>
      <c r="F55" s="208"/>
      <c r="G55" s="87">
        <f>tab!$J83</f>
        <v>-0.01</v>
      </c>
      <c r="H55" s="87">
        <f>tab!$J83</f>
        <v>-0.01</v>
      </c>
      <c r="I55" s="87">
        <f>tab!$J83</f>
        <v>-0.01</v>
      </c>
      <c r="J55" s="87">
        <f>tab!$J83</f>
        <v>-0.01</v>
      </c>
      <c r="K55" s="87">
        <f>tab!$J83</f>
        <v>-0.01</v>
      </c>
      <c r="L55" s="87">
        <f>tab!$J83</f>
        <v>-0.01</v>
      </c>
      <c r="M55" s="87">
        <f>tab!$J83</f>
        <v>-0.01</v>
      </c>
      <c r="N55" s="87">
        <f>tab!$J83</f>
        <v>-0.01</v>
      </c>
      <c r="O55" s="87">
        <f>tab!$J83</f>
        <v>-0.01</v>
      </c>
      <c r="P55" s="87">
        <f>tab!$J83</f>
        <v>-0.01</v>
      </c>
      <c r="Q55" s="87">
        <f>tab!$J83</f>
        <v>-0.01</v>
      </c>
      <c r="R55" s="87">
        <f>tab!$J83</f>
        <v>-0.01</v>
      </c>
      <c r="S55" s="87">
        <f>tab!$J83</f>
        <v>-0.01</v>
      </c>
      <c r="T55" s="87">
        <f>tab!$J83</f>
        <v>-0.01</v>
      </c>
      <c r="U55" s="87">
        <f>tab!$J83</f>
        <v>-0.01</v>
      </c>
      <c r="V55" s="87">
        <f>tab!$J83</f>
        <v>-0.01</v>
      </c>
      <c r="W55" s="87">
        <f>tab!$J83</f>
        <v>-0.01</v>
      </c>
      <c r="X55" s="87">
        <f>tab!$J83</f>
        <v>-0.01</v>
      </c>
      <c r="Y55" s="87">
        <f>tab!$J83</f>
        <v>-0.01</v>
      </c>
      <c r="Z55" s="87">
        <f>tab!$J83</f>
        <v>-0.01</v>
      </c>
      <c r="AA55" s="223"/>
      <c r="AB55" s="164"/>
      <c r="AC55" s="224"/>
    </row>
    <row r="56" spans="1:29" x14ac:dyDescent="0.2">
      <c r="A56" s="159"/>
      <c r="B56" s="199"/>
      <c r="C56" s="225" t="s">
        <v>47</v>
      </c>
      <c r="D56" s="211"/>
      <c r="E56" s="56"/>
      <c r="F56" s="211"/>
      <c r="G56" s="86">
        <f>(G49*G46)*G55</f>
        <v>0</v>
      </c>
      <c r="H56" s="86">
        <f t="shared" ref="H56:Z56" si="18">(H49*H46)*H55</f>
        <v>0</v>
      </c>
      <c r="I56" s="86">
        <f t="shared" si="18"/>
        <v>0</v>
      </c>
      <c r="J56" s="86">
        <f t="shared" si="18"/>
        <v>0</v>
      </c>
      <c r="K56" s="86">
        <f t="shared" si="18"/>
        <v>0</v>
      </c>
      <c r="L56" s="86">
        <f t="shared" si="18"/>
        <v>0</v>
      </c>
      <c r="M56" s="86">
        <f t="shared" si="18"/>
        <v>0</v>
      </c>
      <c r="N56" s="86">
        <f t="shared" si="18"/>
        <v>0</v>
      </c>
      <c r="O56" s="86">
        <f t="shared" si="18"/>
        <v>0</v>
      </c>
      <c r="P56" s="86">
        <f t="shared" si="18"/>
        <v>0</v>
      </c>
      <c r="Q56" s="86">
        <f t="shared" si="18"/>
        <v>0</v>
      </c>
      <c r="R56" s="86">
        <f t="shared" si="18"/>
        <v>0</v>
      </c>
      <c r="S56" s="86">
        <f t="shared" si="18"/>
        <v>0</v>
      </c>
      <c r="T56" s="86">
        <f t="shared" si="18"/>
        <v>0</v>
      </c>
      <c r="U56" s="86">
        <f t="shared" si="18"/>
        <v>0</v>
      </c>
      <c r="V56" s="86">
        <f t="shared" si="18"/>
        <v>0</v>
      </c>
      <c r="W56" s="86">
        <f t="shared" si="18"/>
        <v>0</v>
      </c>
      <c r="X56" s="86">
        <f t="shared" si="18"/>
        <v>0</v>
      </c>
      <c r="Y56" s="86">
        <f t="shared" si="18"/>
        <v>0</v>
      </c>
      <c r="Z56" s="86">
        <f t="shared" si="18"/>
        <v>0</v>
      </c>
      <c r="AA56" s="200"/>
      <c r="AB56" s="159"/>
      <c r="AC56" s="159"/>
    </row>
    <row r="57" spans="1:29" x14ac:dyDescent="0.2">
      <c r="A57" s="159"/>
      <c r="B57" s="199"/>
      <c r="C57" s="226" t="s">
        <v>48</v>
      </c>
      <c r="D57" s="159"/>
      <c r="E57" s="39"/>
      <c r="F57" s="159"/>
      <c r="G57" s="88">
        <f>IF(G54&gt;G56,0,((G54-G56)*-1))</f>
        <v>0</v>
      </c>
      <c r="H57" s="88">
        <f t="shared" ref="H57:Z57" si="19">IF(H54&gt;H56,0,((H54-H56)*-1))</f>
        <v>0</v>
      </c>
      <c r="I57" s="88">
        <f t="shared" si="19"/>
        <v>0</v>
      </c>
      <c r="J57" s="88">
        <f t="shared" si="19"/>
        <v>0</v>
      </c>
      <c r="K57" s="88">
        <f t="shared" si="19"/>
        <v>0</v>
      </c>
      <c r="L57" s="88">
        <f t="shared" si="19"/>
        <v>0</v>
      </c>
      <c r="M57" s="88">
        <f t="shared" si="19"/>
        <v>0</v>
      </c>
      <c r="N57" s="88">
        <f t="shared" si="19"/>
        <v>0</v>
      </c>
      <c r="O57" s="88">
        <f t="shared" si="19"/>
        <v>0</v>
      </c>
      <c r="P57" s="88">
        <f t="shared" si="19"/>
        <v>0</v>
      </c>
      <c r="Q57" s="88">
        <f t="shared" si="19"/>
        <v>0</v>
      </c>
      <c r="R57" s="88">
        <f t="shared" si="19"/>
        <v>0</v>
      </c>
      <c r="S57" s="88">
        <f t="shared" si="19"/>
        <v>0</v>
      </c>
      <c r="T57" s="88">
        <f t="shared" si="19"/>
        <v>0</v>
      </c>
      <c r="U57" s="88">
        <f t="shared" si="19"/>
        <v>0</v>
      </c>
      <c r="V57" s="88">
        <f t="shared" si="19"/>
        <v>0</v>
      </c>
      <c r="W57" s="88">
        <f t="shared" si="19"/>
        <v>0</v>
      </c>
      <c r="X57" s="88">
        <f t="shared" si="19"/>
        <v>0</v>
      </c>
      <c r="Y57" s="88">
        <f t="shared" si="19"/>
        <v>0</v>
      </c>
      <c r="Z57" s="88">
        <f t="shared" si="19"/>
        <v>0</v>
      </c>
      <c r="AA57" s="200"/>
      <c r="AB57" s="159"/>
      <c r="AC57" s="159"/>
    </row>
    <row r="58" spans="1:29" x14ac:dyDescent="0.2">
      <c r="A58" s="159"/>
      <c r="B58" s="199"/>
      <c r="C58" s="225" t="s">
        <v>49</v>
      </c>
      <c r="D58" s="159"/>
      <c r="E58" s="39"/>
      <c r="F58" s="159"/>
      <c r="G58" s="87">
        <f>tab!$J84</f>
        <v>0.01</v>
      </c>
      <c r="H58" s="87">
        <f>tab!$J84</f>
        <v>0.01</v>
      </c>
      <c r="I58" s="87">
        <f>tab!$J84</f>
        <v>0.01</v>
      </c>
      <c r="J58" s="87">
        <f>tab!$J84</f>
        <v>0.01</v>
      </c>
      <c r="K58" s="87">
        <f>tab!$J84</f>
        <v>0.01</v>
      </c>
      <c r="L58" s="87">
        <f>tab!$J84</f>
        <v>0.01</v>
      </c>
      <c r="M58" s="87">
        <f>tab!$J84</f>
        <v>0.01</v>
      </c>
      <c r="N58" s="87">
        <f>tab!$J84</f>
        <v>0.01</v>
      </c>
      <c r="O58" s="87">
        <f>tab!$J84</f>
        <v>0.01</v>
      </c>
      <c r="P58" s="87">
        <f>tab!$J84</f>
        <v>0.01</v>
      </c>
      <c r="Q58" s="87">
        <f>tab!$J84</f>
        <v>0.01</v>
      </c>
      <c r="R58" s="87">
        <f>tab!$J84</f>
        <v>0.01</v>
      </c>
      <c r="S58" s="87">
        <f>tab!$J84</f>
        <v>0.01</v>
      </c>
      <c r="T58" s="87">
        <f>tab!$J84</f>
        <v>0.01</v>
      </c>
      <c r="U58" s="87">
        <f>tab!$J84</f>
        <v>0.01</v>
      </c>
      <c r="V58" s="87">
        <f>tab!$J84</f>
        <v>0.01</v>
      </c>
      <c r="W58" s="87">
        <f>tab!$J84</f>
        <v>0.01</v>
      </c>
      <c r="X58" s="87">
        <f>tab!$J84</f>
        <v>0.01</v>
      </c>
      <c r="Y58" s="87">
        <f>tab!$J84</f>
        <v>0.01</v>
      </c>
      <c r="Z58" s="87">
        <f>tab!$J84</f>
        <v>0.01</v>
      </c>
      <c r="AA58" s="200"/>
      <c r="AB58" s="159"/>
      <c r="AC58" s="159"/>
    </row>
    <row r="59" spans="1:29" s="3" customFormat="1" x14ac:dyDescent="0.2">
      <c r="A59" s="174"/>
      <c r="B59" s="227"/>
      <c r="C59" s="225" t="s">
        <v>50</v>
      </c>
      <c r="D59" s="174"/>
      <c r="E59" s="39"/>
      <c r="F59" s="174"/>
      <c r="G59" s="86">
        <f>(G49*G46)*G58</f>
        <v>0</v>
      </c>
      <c r="H59" s="86">
        <f t="shared" ref="H59:Z59" si="20">(H49*H46)*H58</f>
        <v>0</v>
      </c>
      <c r="I59" s="86">
        <f t="shared" si="20"/>
        <v>0</v>
      </c>
      <c r="J59" s="86">
        <f t="shared" si="20"/>
        <v>0</v>
      </c>
      <c r="K59" s="86">
        <f t="shared" si="20"/>
        <v>0</v>
      </c>
      <c r="L59" s="86">
        <f t="shared" si="20"/>
        <v>0</v>
      </c>
      <c r="M59" s="86">
        <f t="shared" si="20"/>
        <v>0</v>
      </c>
      <c r="N59" s="86">
        <f t="shared" si="20"/>
        <v>0</v>
      </c>
      <c r="O59" s="86">
        <f t="shared" si="20"/>
        <v>0</v>
      </c>
      <c r="P59" s="86">
        <f t="shared" si="20"/>
        <v>0</v>
      </c>
      <c r="Q59" s="86">
        <f t="shared" si="20"/>
        <v>0</v>
      </c>
      <c r="R59" s="86">
        <f t="shared" si="20"/>
        <v>0</v>
      </c>
      <c r="S59" s="86">
        <f t="shared" si="20"/>
        <v>0</v>
      </c>
      <c r="T59" s="86">
        <f t="shared" si="20"/>
        <v>0</v>
      </c>
      <c r="U59" s="86">
        <f t="shared" si="20"/>
        <v>0</v>
      </c>
      <c r="V59" s="86">
        <f t="shared" si="20"/>
        <v>0</v>
      </c>
      <c r="W59" s="86">
        <f t="shared" si="20"/>
        <v>0</v>
      </c>
      <c r="X59" s="86">
        <f t="shared" si="20"/>
        <v>0</v>
      </c>
      <c r="Y59" s="86">
        <f t="shared" si="20"/>
        <v>0</v>
      </c>
      <c r="Z59" s="86">
        <f t="shared" si="20"/>
        <v>0</v>
      </c>
      <c r="AA59" s="228"/>
      <c r="AB59" s="174"/>
      <c r="AC59" s="174"/>
    </row>
    <row r="60" spans="1:29" x14ac:dyDescent="0.2">
      <c r="A60" s="159"/>
      <c r="B60" s="199"/>
      <c r="C60" s="226" t="s">
        <v>51</v>
      </c>
      <c r="D60" s="159"/>
      <c r="E60" s="39"/>
      <c r="F60" s="159"/>
      <c r="G60" s="88">
        <f>IF(G54&lt;G59,0,(G59-G54)*1)</f>
        <v>0</v>
      </c>
      <c r="H60" s="88">
        <f t="shared" ref="H60:Z60" si="21">IF(H54&lt;H59,0,(H59-H54)*1)</f>
        <v>0</v>
      </c>
      <c r="I60" s="88">
        <f t="shared" si="21"/>
        <v>0</v>
      </c>
      <c r="J60" s="88">
        <f t="shared" si="21"/>
        <v>0</v>
      </c>
      <c r="K60" s="88">
        <f t="shared" si="21"/>
        <v>0</v>
      </c>
      <c r="L60" s="88">
        <f t="shared" si="21"/>
        <v>0</v>
      </c>
      <c r="M60" s="88">
        <f t="shared" si="21"/>
        <v>0</v>
      </c>
      <c r="N60" s="88">
        <f t="shared" si="21"/>
        <v>0</v>
      </c>
      <c r="O60" s="88">
        <f t="shared" si="21"/>
        <v>0</v>
      </c>
      <c r="P60" s="88">
        <f t="shared" si="21"/>
        <v>0</v>
      </c>
      <c r="Q60" s="88">
        <f t="shared" si="21"/>
        <v>0</v>
      </c>
      <c r="R60" s="88">
        <f t="shared" si="21"/>
        <v>0</v>
      </c>
      <c r="S60" s="88">
        <f t="shared" si="21"/>
        <v>0</v>
      </c>
      <c r="T60" s="88">
        <f t="shared" si="21"/>
        <v>0</v>
      </c>
      <c r="U60" s="88">
        <f t="shared" si="21"/>
        <v>0</v>
      </c>
      <c r="V60" s="88">
        <f t="shared" si="21"/>
        <v>0</v>
      </c>
      <c r="W60" s="88">
        <f t="shared" si="21"/>
        <v>0</v>
      </c>
      <c r="X60" s="88">
        <f t="shared" si="21"/>
        <v>0</v>
      </c>
      <c r="Y60" s="88">
        <f t="shared" si="21"/>
        <v>0</v>
      </c>
      <c r="Z60" s="88">
        <f t="shared" si="21"/>
        <v>0</v>
      </c>
      <c r="AA60" s="200"/>
      <c r="AB60" s="159"/>
      <c r="AC60" s="159"/>
    </row>
    <row r="61" spans="1:29" x14ac:dyDescent="0.2">
      <c r="A61" s="159"/>
      <c r="B61" s="199"/>
      <c r="C61" s="175" t="s">
        <v>52</v>
      </c>
      <c r="D61" s="159"/>
      <c r="E61" s="183"/>
      <c r="F61" s="159"/>
      <c r="G61" s="85">
        <f>IF(G60=0,G57,G60)</f>
        <v>0</v>
      </c>
      <c r="H61" s="85">
        <f t="shared" ref="H61:Z61" si="22">IF(H60=0,H57,H60)</f>
        <v>0</v>
      </c>
      <c r="I61" s="85">
        <f t="shared" si="22"/>
        <v>0</v>
      </c>
      <c r="J61" s="85">
        <f t="shared" si="22"/>
        <v>0</v>
      </c>
      <c r="K61" s="85">
        <f t="shared" si="22"/>
        <v>0</v>
      </c>
      <c r="L61" s="85">
        <f t="shared" si="22"/>
        <v>0</v>
      </c>
      <c r="M61" s="85">
        <f t="shared" si="22"/>
        <v>0</v>
      </c>
      <c r="N61" s="85">
        <f t="shared" si="22"/>
        <v>0</v>
      </c>
      <c r="O61" s="85">
        <f t="shared" si="22"/>
        <v>0</v>
      </c>
      <c r="P61" s="85">
        <f t="shared" si="22"/>
        <v>0</v>
      </c>
      <c r="Q61" s="85">
        <f t="shared" si="22"/>
        <v>0</v>
      </c>
      <c r="R61" s="85">
        <f t="shared" si="22"/>
        <v>0</v>
      </c>
      <c r="S61" s="85">
        <f t="shared" si="22"/>
        <v>0</v>
      </c>
      <c r="T61" s="85">
        <f t="shared" si="22"/>
        <v>0</v>
      </c>
      <c r="U61" s="85">
        <f t="shared" si="22"/>
        <v>0</v>
      </c>
      <c r="V61" s="85">
        <f t="shared" si="22"/>
        <v>0</v>
      </c>
      <c r="W61" s="85">
        <f t="shared" si="22"/>
        <v>0</v>
      </c>
      <c r="X61" s="85">
        <f t="shared" si="22"/>
        <v>0</v>
      </c>
      <c r="Y61" s="85">
        <f t="shared" si="22"/>
        <v>0</v>
      </c>
      <c r="Z61" s="85">
        <f t="shared" si="22"/>
        <v>0</v>
      </c>
      <c r="AA61" s="200"/>
      <c r="AB61" s="159"/>
      <c r="AC61" s="159"/>
    </row>
    <row r="62" spans="1:29" x14ac:dyDescent="0.2">
      <c r="A62" s="159"/>
      <c r="B62" s="199"/>
      <c r="C62" s="175" t="s">
        <v>201</v>
      </c>
      <c r="D62" s="159"/>
      <c r="E62" s="215">
        <f>SUM(G62:Z62)</f>
        <v>0</v>
      </c>
      <c r="F62" s="159"/>
      <c r="G62" s="89">
        <f>IF(G35=0,0,G53+G61)</f>
        <v>0</v>
      </c>
      <c r="H62" s="89">
        <f t="shared" ref="H62:Z62" si="23">IF(H35=0,0,H53+H61)</f>
        <v>0</v>
      </c>
      <c r="I62" s="89">
        <f t="shared" si="23"/>
        <v>0</v>
      </c>
      <c r="J62" s="89">
        <f t="shared" si="23"/>
        <v>0</v>
      </c>
      <c r="K62" s="89">
        <f t="shared" si="23"/>
        <v>0</v>
      </c>
      <c r="L62" s="89">
        <f t="shared" si="23"/>
        <v>0</v>
      </c>
      <c r="M62" s="89">
        <f t="shared" si="23"/>
        <v>0</v>
      </c>
      <c r="N62" s="89">
        <f t="shared" si="23"/>
        <v>0</v>
      </c>
      <c r="O62" s="89">
        <f t="shared" si="23"/>
        <v>0</v>
      </c>
      <c r="P62" s="89">
        <f t="shared" si="23"/>
        <v>0</v>
      </c>
      <c r="Q62" s="89">
        <f t="shared" si="23"/>
        <v>0</v>
      </c>
      <c r="R62" s="89">
        <f t="shared" si="23"/>
        <v>0</v>
      </c>
      <c r="S62" s="89">
        <f t="shared" si="23"/>
        <v>0</v>
      </c>
      <c r="T62" s="89">
        <f t="shared" si="23"/>
        <v>0</v>
      </c>
      <c r="U62" s="89">
        <f t="shared" si="23"/>
        <v>0</v>
      </c>
      <c r="V62" s="89">
        <f t="shared" si="23"/>
        <v>0</v>
      </c>
      <c r="W62" s="89">
        <f t="shared" si="23"/>
        <v>0</v>
      </c>
      <c r="X62" s="89">
        <f t="shared" si="23"/>
        <v>0</v>
      </c>
      <c r="Y62" s="89">
        <f t="shared" si="23"/>
        <v>0</v>
      </c>
      <c r="Z62" s="89">
        <f t="shared" si="23"/>
        <v>0</v>
      </c>
      <c r="AA62" s="200"/>
      <c r="AB62" s="159"/>
      <c r="AC62" s="159"/>
    </row>
    <row r="63" spans="1:29" x14ac:dyDescent="0.2">
      <c r="A63" s="159"/>
      <c r="B63" s="229"/>
      <c r="C63" s="187"/>
      <c r="D63" s="230"/>
      <c r="E63" s="231"/>
      <c r="F63" s="230"/>
      <c r="G63" s="230"/>
      <c r="H63" s="230"/>
      <c r="I63" s="230"/>
      <c r="J63" s="230"/>
      <c r="K63" s="230"/>
      <c r="L63" s="230"/>
      <c r="M63" s="230"/>
      <c r="N63" s="230"/>
      <c r="O63" s="230"/>
      <c r="P63" s="230"/>
      <c r="Q63" s="230"/>
      <c r="R63" s="230"/>
      <c r="S63" s="230"/>
      <c r="T63" s="230"/>
      <c r="U63" s="230"/>
      <c r="V63" s="230"/>
      <c r="W63" s="230"/>
      <c r="X63" s="230"/>
      <c r="Y63" s="230"/>
      <c r="Z63" s="230"/>
      <c r="AA63" s="232"/>
      <c r="AB63" s="159"/>
      <c r="AC63" s="159"/>
    </row>
    <row r="64" spans="1:29" x14ac:dyDescent="0.2">
      <c r="A64" s="159"/>
      <c r="B64" s="159"/>
      <c r="C64" s="159"/>
      <c r="D64" s="159"/>
      <c r="E64" s="174"/>
      <c r="F64" s="159"/>
      <c r="G64" s="178"/>
      <c r="H64" s="178"/>
      <c r="I64" s="178"/>
      <c r="J64" s="178"/>
      <c r="K64" s="178"/>
      <c r="L64" s="178"/>
      <c r="M64" s="178"/>
      <c r="N64" s="178"/>
      <c r="O64" s="178"/>
      <c r="P64" s="178"/>
      <c r="Q64" s="178"/>
      <c r="R64" s="178"/>
      <c r="S64" s="178"/>
      <c r="T64" s="178"/>
      <c r="U64" s="178"/>
      <c r="V64" s="178"/>
      <c r="W64" s="178"/>
      <c r="X64" s="178"/>
      <c r="Y64" s="178"/>
      <c r="Z64" s="178"/>
      <c r="AA64" s="159"/>
      <c r="AB64" s="159"/>
      <c r="AC64" s="159"/>
    </row>
    <row r="65" spans="1:29" x14ac:dyDescent="0.2">
      <c r="A65" s="159"/>
      <c r="B65" s="159"/>
      <c r="C65" s="159"/>
      <c r="D65" s="159"/>
      <c r="E65" s="174"/>
      <c r="F65" s="159"/>
      <c r="G65" s="178"/>
      <c r="H65" s="178"/>
      <c r="I65" s="178"/>
      <c r="J65" s="178"/>
      <c r="K65" s="178"/>
      <c r="L65" s="178"/>
      <c r="M65" s="178"/>
      <c r="N65" s="178"/>
      <c r="O65" s="178"/>
      <c r="P65" s="178"/>
      <c r="Q65" s="178"/>
      <c r="R65" s="178"/>
      <c r="S65" s="178"/>
      <c r="T65" s="178"/>
      <c r="U65" s="178"/>
      <c r="V65" s="178"/>
      <c r="W65" s="178"/>
      <c r="X65" s="178"/>
      <c r="Y65" s="178"/>
      <c r="Z65" s="178"/>
      <c r="AA65" s="159"/>
      <c r="AB65" s="159"/>
      <c r="AC65" s="159"/>
    </row>
    <row r="66" spans="1:29" x14ac:dyDescent="0.2">
      <c r="A66" s="159"/>
      <c r="B66" s="159"/>
      <c r="C66" s="159"/>
      <c r="D66" s="159"/>
      <c r="E66" s="57"/>
      <c r="F66" s="159"/>
      <c r="G66" s="32"/>
      <c r="H66" s="32"/>
      <c r="I66" s="32"/>
      <c r="J66" s="32"/>
      <c r="K66" s="32"/>
      <c r="L66" s="32"/>
      <c r="M66" s="32"/>
      <c r="N66" s="32"/>
      <c r="O66" s="32"/>
      <c r="P66" s="32"/>
      <c r="Q66" s="32"/>
      <c r="R66" s="32"/>
      <c r="S66" s="32"/>
      <c r="T66" s="32"/>
      <c r="U66" s="32"/>
      <c r="V66" s="32"/>
      <c r="W66" s="32"/>
      <c r="X66" s="32"/>
      <c r="Y66" s="32"/>
      <c r="Z66" s="32"/>
      <c r="AA66" s="159"/>
      <c r="AB66" s="159"/>
      <c r="AC66" s="159"/>
    </row>
  </sheetData>
  <sheetProtection algorithmName="SHA-512" hashValue="tl9IpFtAZpugAhHSlC5/POHKG+riX+ij1KrihgVtZLs45adu4qon/zxZ+IRORVRvtWpRlZ8aB4GgxSEonRb8wQ==" saltValue="XNwfyiY3WJUFneyZuFCebw==" spinCount="100000" sheet="1" objects="1" scenarios="1"/>
  <mergeCells count="1">
    <mergeCell ref="B2:C2"/>
  </mergeCells>
  <hyperlinks>
    <hyperlink ref="E39" r:id="rId1" xr:uid="{41405F28-2FDA-4597-9DA7-FA66B4CD06D0}"/>
    <hyperlink ref="E40" r:id="rId2" xr:uid="{33B72792-3C61-4CFC-B1ED-7CC997E03B6B}"/>
  </hyperlinks>
  <pageMargins left="0.23622047244094491" right="0.23622047244094491" top="0.74803149606299213" bottom="0.74803149606299213" header="0.31496062992125984" footer="0.31496062992125984"/>
  <pageSetup paperSize="9" scale="55" orientation="landscape"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DBCCA-9877-4D0F-94A2-542B9E918316}">
  <sheetPr>
    <tabColor rgb="FFFFFFCC"/>
  </sheetPr>
  <dimension ref="B2:AJ71"/>
  <sheetViews>
    <sheetView tabSelected="1" zoomScale="90" zoomScaleNormal="90" workbookViewId="0">
      <selection activeCell="H15" sqref="H15"/>
    </sheetView>
  </sheetViews>
  <sheetFormatPr defaultColWidth="8.7109375" defaultRowHeight="12.75" x14ac:dyDescent="0.2"/>
  <cols>
    <col min="1" max="2" width="2.5703125" style="1" customWidth="1"/>
    <col min="3" max="3" width="55.7109375" style="1" customWidth="1"/>
    <col min="4" max="4" width="1" style="1" customWidth="1"/>
    <col min="5" max="5" width="12.7109375" style="3" customWidth="1"/>
    <col min="6" max="6" width="1" style="1" customWidth="1"/>
    <col min="7" max="26" width="12.7109375" style="2" customWidth="1"/>
    <col min="27" max="28" width="2.5703125" style="1" customWidth="1"/>
    <col min="29" max="59" width="8.5703125" style="1" customWidth="1"/>
    <col min="60" max="16384" width="8.7109375" style="1"/>
  </cols>
  <sheetData>
    <row r="2" spans="2:27" ht="15.75" x14ac:dyDescent="0.25">
      <c r="B2" s="145" t="str">
        <f>_xlfn.CONCAT("BEKOSTIGING SCHOOLBESTUUR  ",tab!B2)</f>
        <v>BEKOSTIGING SCHOOLBESTUUR  2024</v>
      </c>
      <c r="C2" s="145"/>
      <c r="E2" s="137" t="s">
        <v>208</v>
      </c>
      <c r="G2" s="112"/>
      <c r="H2" s="112"/>
      <c r="I2" s="112"/>
      <c r="J2" s="112"/>
      <c r="K2" s="112"/>
      <c r="L2" s="112"/>
      <c r="M2" s="112"/>
      <c r="N2" s="112"/>
      <c r="O2" s="112"/>
      <c r="P2" s="112"/>
      <c r="Q2" s="138" t="s">
        <v>212</v>
      </c>
      <c r="R2" s="112"/>
      <c r="S2" s="112"/>
      <c r="T2" s="112"/>
      <c r="U2" s="112"/>
      <c r="V2" s="112"/>
      <c r="W2" s="112"/>
      <c r="X2" s="112"/>
      <c r="Y2" s="112"/>
      <c r="Z2" s="112"/>
    </row>
    <row r="3" spans="2:27" ht="15.75" x14ac:dyDescent="0.25">
      <c r="B3" s="8"/>
      <c r="G3" s="112"/>
      <c r="H3" s="112"/>
      <c r="I3" s="112"/>
      <c r="J3" s="112"/>
      <c r="K3" s="112"/>
      <c r="L3" s="112"/>
      <c r="M3" s="112"/>
      <c r="N3" s="112"/>
      <c r="O3" s="112"/>
      <c r="P3" s="112"/>
      <c r="Q3" s="112"/>
      <c r="R3" s="112"/>
      <c r="S3" s="112"/>
      <c r="T3" s="112"/>
      <c r="U3" s="112"/>
      <c r="V3" s="112"/>
      <c r="W3" s="112"/>
      <c r="X3" s="112"/>
      <c r="Y3" s="112"/>
      <c r="Z3" s="112"/>
    </row>
    <row r="5" spans="2:27" x14ac:dyDescent="0.2">
      <c r="B5" s="98"/>
      <c r="C5" s="100"/>
      <c r="D5" s="100"/>
      <c r="E5" s="113"/>
      <c r="F5" s="100"/>
      <c r="G5" s="114"/>
      <c r="H5" s="114"/>
      <c r="I5" s="114"/>
      <c r="J5" s="114"/>
      <c r="K5" s="114"/>
      <c r="L5" s="114"/>
      <c r="M5" s="114"/>
      <c r="N5" s="114"/>
      <c r="O5" s="114"/>
      <c r="P5" s="114"/>
      <c r="Q5" s="114"/>
      <c r="R5" s="114"/>
      <c r="S5" s="114"/>
      <c r="T5" s="114"/>
      <c r="U5" s="114"/>
      <c r="V5" s="114"/>
      <c r="W5" s="114"/>
      <c r="X5" s="114"/>
      <c r="Y5" s="114"/>
      <c r="Z5" s="114"/>
      <c r="AA5" s="11"/>
    </row>
    <row r="6" spans="2:27" ht="12.95" customHeight="1" x14ac:dyDescent="0.2">
      <c r="B6" s="102"/>
      <c r="C6" s="1" t="s">
        <v>15</v>
      </c>
      <c r="E6" s="115" t="s">
        <v>16</v>
      </c>
      <c r="G6" s="136">
        <v>1</v>
      </c>
      <c r="H6" s="136">
        <v>2</v>
      </c>
      <c r="I6" s="136">
        <v>3</v>
      </c>
      <c r="J6" s="136">
        <v>4</v>
      </c>
      <c r="K6" s="136">
        <v>5</v>
      </c>
      <c r="L6" s="136">
        <v>6</v>
      </c>
      <c r="M6" s="136">
        <v>7</v>
      </c>
      <c r="N6" s="136">
        <v>8</v>
      </c>
      <c r="O6" s="136">
        <v>9</v>
      </c>
      <c r="P6" s="136">
        <v>10</v>
      </c>
      <c r="Q6" s="136">
        <v>11</v>
      </c>
      <c r="R6" s="136">
        <v>12</v>
      </c>
      <c r="S6" s="136">
        <v>13</v>
      </c>
      <c r="T6" s="136">
        <v>14</v>
      </c>
      <c r="U6" s="136"/>
      <c r="V6" s="136"/>
      <c r="W6" s="136"/>
      <c r="X6" s="136"/>
      <c r="Y6" s="136"/>
      <c r="Z6" s="136"/>
      <c r="AA6" s="12"/>
    </row>
    <row r="7" spans="2:27" ht="12.95" customHeight="1" x14ac:dyDescent="0.2">
      <c r="B7" s="102"/>
      <c r="C7" s="1" t="s">
        <v>17</v>
      </c>
      <c r="E7" s="135"/>
      <c r="G7" s="135" t="s">
        <v>18</v>
      </c>
      <c r="H7" s="135" t="s">
        <v>18</v>
      </c>
      <c r="I7" s="135" t="s">
        <v>18</v>
      </c>
      <c r="J7" s="135" t="s">
        <v>18</v>
      </c>
      <c r="K7" s="135" t="s">
        <v>18</v>
      </c>
      <c r="L7" s="135" t="s">
        <v>18</v>
      </c>
      <c r="M7" s="135" t="s">
        <v>18</v>
      </c>
      <c r="N7" s="135" t="s">
        <v>18</v>
      </c>
      <c r="O7" s="135" t="s">
        <v>18</v>
      </c>
      <c r="P7" s="135" t="s">
        <v>18</v>
      </c>
      <c r="Q7" s="135" t="s">
        <v>18</v>
      </c>
      <c r="R7" s="135" t="s">
        <v>18</v>
      </c>
      <c r="S7" s="135" t="s">
        <v>18</v>
      </c>
      <c r="T7" s="135" t="s">
        <v>18</v>
      </c>
      <c r="U7" s="135"/>
      <c r="V7" s="135"/>
      <c r="W7" s="135"/>
      <c r="X7" s="135"/>
      <c r="Y7" s="135"/>
      <c r="Z7" s="135"/>
      <c r="AA7" s="12"/>
    </row>
    <row r="8" spans="2:27" x14ac:dyDescent="0.2">
      <c r="B8" s="102"/>
      <c r="AA8" s="12"/>
    </row>
    <row r="9" spans="2:27" x14ac:dyDescent="0.2">
      <c r="B9" s="102"/>
      <c r="C9" s="3" t="s">
        <v>19</v>
      </c>
      <c r="E9" s="5"/>
      <c r="G9" s="5"/>
      <c r="H9" s="5"/>
      <c r="I9" s="5"/>
      <c r="J9" s="5"/>
      <c r="K9" s="5"/>
      <c r="L9" s="5"/>
      <c r="M9" s="5"/>
      <c r="N9" s="5"/>
      <c r="O9" s="5"/>
      <c r="P9" s="5"/>
      <c r="Q9" s="5"/>
      <c r="R9" s="5"/>
      <c r="S9" s="5"/>
      <c r="T9" s="5"/>
      <c r="U9" s="5"/>
      <c r="V9" s="5"/>
      <c r="W9" s="5"/>
      <c r="X9" s="5"/>
      <c r="Y9" s="5"/>
      <c r="Z9" s="5"/>
      <c r="AA9" s="12"/>
    </row>
    <row r="10" spans="2:27" x14ac:dyDescent="0.2">
      <c r="B10" s="102"/>
      <c r="C10" s="1" t="s">
        <v>20</v>
      </c>
      <c r="E10" s="116">
        <f t="shared" ref="E10:E15" si="0">SUM(G10:Z10)</f>
        <v>0</v>
      </c>
      <c r="G10" s="60">
        <v>0</v>
      </c>
      <c r="H10" s="60">
        <v>0</v>
      </c>
      <c r="I10" s="60">
        <v>0</v>
      </c>
      <c r="J10" s="60">
        <v>0</v>
      </c>
      <c r="K10" s="60">
        <v>0</v>
      </c>
      <c r="L10" s="60">
        <v>0</v>
      </c>
      <c r="M10" s="60">
        <v>0</v>
      </c>
      <c r="N10" s="60">
        <v>0</v>
      </c>
      <c r="O10" s="60">
        <v>0</v>
      </c>
      <c r="P10" s="60">
        <v>0</v>
      </c>
      <c r="Q10" s="60">
        <v>0</v>
      </c>
      <c r="R10" s="60">
        <v>0</v>
      </c>
      <c r="S10" s="60">
        <v>0</v>
      </c>
      <c r="T10" s="60">
        <v>0</v>
      </c>
      <c r="U10" s="60">
        <v>0</v>
      </c>
      <c r="V10" s="60">
        <v>0</v>
      </c>
      <c r="W10" s="60">
        <v>0</v>
      </c>
      <c r="X10" s="60">
        <v>0</v>
      </c>
      <c r="Y10" s="60">
        <v>0</v>
      </c>
      <c r="Z10" s="60">
        <v>0</v>
      </c>
      <c r="AA10" s="12"/>
    </row>
    <row r="11" spans="2:27" x14ac:dyDescent="0.2">
      <c r="B11" s="102"/>
      <c r="C11" s="1" t="s">
        <v>184</v>
      </c>
      <c r="E11" s="116">
        <f t="shared" si="0"/>
        <v>0</v>
      </c>
      <c r="G11" s="62">
        <v>0</v>
      </c>
      <c r="H11" s="62">
        <v>0</v>
      </c>
      <c r="I11" s="62">
        <v>0</v>
      </c>
      <c r="J11" s="62">
        <v>0</v>
      </c>
      <c r="K11" s="62">
        <v>0</v>
      </c>
      <c r="L11" s="62">
        <v>0</v>
      </c>
      <c r="M11" s="62">
        <v>0</v>
      </c>
      <c r="N11" s="62">
        <v>0</v>
      </c>
      <c r="O11" s="62">
        <v>0</v>
      </c>
      <c r="P11" s="62">
        <v>0</v>
      </c>
      <c r="Q11" s="62">
        <v>0</v>
      </c>
      <c r="R11" s="62">
        <v>0</v>
      </c>
      <c r="S11" s="62">
        <v>0</v>
      </c>
      <c r="T11" s="62">
        <v>0</v>
      </c>
      <c r="U11" s="62">
        <v>0</v>
      </c>
      <c r="V11" s="62">
        <v>0</v>
      </c>
      <c r="W11" s="62">
        <v>0</v>
      </c>
      <c r="X11" s="62">
        <v>0</v>
      </c>
      <c r="Y11" s="62">
        <v>0</v>
      </c>
      <c r="Z11" s="62">
        <v>0</v>
      </c>
      <c r="AA11" s="12"/>
    </row>
    <row r="12" spans="2:27" x14ac:dyDescent="0.2">
      <c r="B12" s="102"/>
      <c r="C12" s="1" t="s">
        <v>21</v>
      </c>
      <c r="E12" s="116">
        <f t="shared" si="0"/>
        <v>0</v>
      </c>
      <c r="G12" s="60">
        <v>0</v>
      </c>
      <c r="H12" s="60">
        <v>0</v>
      </c>
      <c r="I12" s="60">
        <v>0</v>
      </c>
      <c r="J12" s="60">
        <v>0</v>
      </c>
      <c r="K12" s="60">
        <v>0</v>
      </c>
      <c r="L12" s="60">
        <v>0</v>
      </c>
      <c r="M12" s="60">
        <v>0</v>
      </c>
      <c r="N12" s="60">
        <v>0</v>
      </c>
      <c r="O12" s="60">
        <v>0</v>
      </c>
      <c r="P12" s="60">
        <v>0</v>
      </c>
      <c r="Q12" s="60">
        <v>0</v>
      </c>
      <c r="R12" s="60">
        <v>0</v>
      </c>
      <c r="S12" s="60">
        <v>0</v>
      </c>
      <c r="T12" s="60">
        <v>0</v>
      </c>
      <c r="U12" s="60">
        <v>0</v>
      </c>
      <c r="V12" s="60">
        <v>0</v>
      </c>
      <c r="W12" s="60">
        <v>0</v>
      </c>
      <c r="X12" s="60">
        <v>0</v>
      </c>
      <c r="Y12" s="60">
        <v>0</v>
      </c>
      <c r="Z12" s="60">
        <v>0</v>
      </c>
      <c r="AA12" s="12"/>
    </row>
    <row r="13" spans="2:27" x14ac:dyDescent="0.2">
      <c r="B13" s="102"/>
      <c r="C13" s="1" t="s">
        <v>22</v>
      </c>
      <c r="E13" s="116">
        <f t="shared" si="0"/>
        <v>0</v>
      </c>
      <c r="G13" s="60">
        <v>0</v>
      </c>
      <c r="H13" s="60">
        <v>0</v>
      </c>
      <c r="I13" s="60">
        <v>0</v>
      </c>
      <c r="J13" s="60">
        <v>0</v>
      </c>
      <c r="K13" s="60">
        <v>0</v>
      </c>
      <c r="L13" s="60">
        <v>0</v>
      </c>
      <c r="M13" s="60">
        <v>0</v>
      </c>
      <c r="N13" s="60">
        <v>0</v>
      </c>
      <c r="O13" s="60">
        <v>0</v>
      </c>
      <c r="P13" s="60">
        <v>0</v>
      </c>
      <c r="Q13" s="60">
        <v>0</v>
      </c>
      <c r="R13" s="60">
        <v>0</v>
      </c>
      <c r="S13" s="60">
        <v>0</v>
      </c>
      <c r="T13" s="60">
        <v>0</v>
      </c>
      <c r="U13" s="60">
        <v>0</v>
      </c>
      <c r="V13" s="60">
        <v>0</v>
      </c>
      <c r="W13" s="60">
        <v>0</v>
      </c>
      <c r="X13" s="60">
        <v>0</v>
      </c>
      <c r="Y13" s="60">
        <v>0</v>
      </c>
      <c r="Z13" s="60">
        <v>0</v>
      </c>
      <c r="AA13" s="12"/>
    </row>
    <row r="14" spans="2:27" x14ac:dyDescent="0.2">
      <c r="B14" s="102"/>
      <c r="C14" s="1" t="s">
        <v>23</v>
      </c>
      <c r="E14" s="116">
        <f t="shared" si="0"/>
        <v>0</v>
      </c>
      <c r="G14" s="60">
        <v>0</v>
      </c>
      <c r="H14" s="60">
        <v>0</v>
      </c>
      <c r="I14" s="60">
        <v>0</v>
      </c>
      <c r="J14" s="60">
        <v>0</v>
      </c>
      <c r="K14" s="60">
        <v>0</v>
      </c>
      <c r="L14" s="60">
        <v>0</v>
      </c>
      <c r="M14" s="60">
        <v>0</v>
      </c>
      <c r="N14" s="60">
        <v>0</v>
      </c>
      <c r="O14" s="60">
        <v>0</v>
      </c>
      <c r="P14" s="60">
        <v>0</v>
      </c>
      <c r="Q14" s="60">
        <v>0</v>
      </c>
      <c r="R14" s="60">
        <v>0</v>
      </c>
      <c r="S14" s="60">
        <v>0</v>
      </c>
      <c r="T14" s="60">
        <v>0</v>
      </c>
      <c r="U14" s="60">
        <v>0</v>
      </c>
      <c r="V14" s="60">
        <v>0</v>
      </c>
      <c r="W14" s="60">
        <v>0</v>
      </c>
      <c r="X14" s="60">
        <v>0</v>
      </c>
      <c r="Y14" s="60">
        <v>0</v>
      </c>
      <c r="Z14" s="60">
        <v>0</v>
      </c>
      <c r="AA14" s="12"/>
    </row>
    <row r="15" spans="2:27" x14ac:dyDescent="0.2">
      <c r="B15" s="102"/>
      <c r="C15" s="1" t="s">
        <v>24</v>
      </c>
      <c r="E15" s="116">
        <f t="shared" si="0"/>
        <v>0</v>
      </c>
      <c r="G15" s="60">
        <v>0</v>
      </c>
      <c r="H15" s="60">
        <v>0</v>
      </c>
      <c r="I15" s="60">
        <v>0</v>
      </c>
      <c r="J15" s="60">
        <v>0</v>
      </c>
      <c r="K15" s="60">
        <v>0</v>
      </c>
      <c r="L15" s="60">
        <v>0</v>
      </c>
      <c r="M15" s="60">
        <v>0</v>
      </c>
      <c r="N15" s="60">
        <v>0</v>
      </c>
      <c r="O15" s="60">
        <v>0</v>
      </c>
      <c r="P15" s="60">
        <v>0</v>
      </c>
      <c r="Q15" s="60">
        <v>0</v>
      </c>
      <c r="R15" s="60">
        <v>0</v>
      </c>
      <c r="S15" s="60">
        <v>0</v>
      </c>
      <c r="T15" s="60">
        <v>0</v>
      </c>
      <c r="U15" s="60">
        <v>0</v>
      </c>
      <c r="V15" s="60">
        <v>0</v>
      </c>
      <c r="W15" s="60">
        <v>0</v>
      </c>
      <c r="X15" s="60">
        <v>0</v>
      </c>
      <c r="Y15" s="60">
        <v>0</v>
      </c>
      <c r="Z15" s="60">
        <v>0</v>
      </c>
      <c r="AA15" s="12"/>
    </row>
    <row r="16" spans="2:27" x14ac:dyDescent="0.2">
      <c r="B16" s="102"/>
      <c r="E16" s="5"/>
      <c r="G16" s="4"/>
      <c r="H16" s="4"/>
      <c r="I16" s="4"/>
      <c r="J16" s="4"/>
      <c r="K16" s="4"/>
      <c r="L16" s="4"/>
      <c r="M16" s="4"/>
      <c r="N16" s="4"/>
      <c r="O16" s="4"/>
      <c r="P16" s="4"/>
      <c r="Q16" s="4"/>
      <c r="R16" s="4"/>
      <c r="S16" s="4"/>
      <c r="T16" s="4"/>
      <c r="U16" s="4"/>
      <c r="V16" s="4"/>
      <c r="W16" s="4"/>
      <c r="X16" s="4"/>
      <c r="Y16" s="4"/>
      <c r="Z16" s="4"/>
      <c r="AA16" s="12"/>
    </row>
    <row r="17" spans="2:30" x14ac:dyDescent="0.2">
      <c r="B17" s="102"/>
      <c r="C17" s="3" t="s">
        <v>25</v>
      </c>
      <c r="D17" s="3"/>
      <c r="E17" s="96"/>
      <c r="F17" s="3"/>
      <c r="AA17" s="12"/>
    </row>
    <row r="18" spans="2:30" x14ac:dyDescent="0.2">
      <c r="B18" s="102"/>
      <c r="C18" s="1" t="s">
        <v>26</v>
      </c>
      <c r="E18" s="117">
        <f>SUM(G18:Z18)</f>
        <v>0</v>
      </c>
      <c r="G18" s="118">
        <f>(G10*tab!$B8)</f>
        <v>0</v>
      </c>
      <c r="H18" s="118">
        <f>(H10*tab!$B8)</f>
        <v>0</v>
      </c>
      <c r="I18" s="118">
        <f>(I10*tab!$B8)</f>
        <v>0</v>
      </c>
      <c r="J18" s="118">
        <f>(J10*tab!$B8)</f>
        <v>0</v>
      </c>
      <c r="K18" s="118">
        <f>(K10*tab!$B8)</f>
        <v>0</v>
      </c>
      <c r="L18" s="118">
        <f>(L10*tab!$B8)</f>
        <v>0</v>
      </c>
      <c r="M18" s="118">
        <f>(M10*tab!$B8)</f>
        <v>0</v>
      </c>
      <c r="N18" s="118">
        <f>(N10*tab!$B8)</f>
        <v>0</v>
      </c>
      <c r="O18" s="118">
        <f>(O10*tab!$B8)</f>
        <v>0</v>
      </c>
      <c r="P18" s="118">
        <f>(P10*tab!$B8)</f>
        <v>0</v>
      </c>
      <c r="Q18" s="118">
        <f>(Q10*tab!$B8)</f>
        <v>0</v>
      </c>
      <c r="R18" s="118">
        <f>(R10*tab!$B8)</f>
        <v>0</v>
      </c>
      <c r="S18" s="118">
        <f>(S10*tab!$B8)</f>
        <v>0</v>
      </c>
      <c r="T18" s="118">
        <f>(T10*tab!$B8)</f>
        <v>0</v>
      </c>
      <c r="U18" s="118">
        <f>(U10*tab!$B8)</f>
        <v>0</v>
      </c>
      <c r="V18" s="118">
        <f>(V10*tab!$B8)</f>
        <v>0</v>
      </c>
      <c r="W18" s="118">
        <f>(W10*tab!$B8)</f>
        <v>0</v>
      </c>
      <c r="X18" s="118">
        <f>(X10*tab!$B8)</f>
        <v>0</v>
      </c>
      <c r="Y18" s="118">
        <f>(Y10*tab!$B8)</f>
        <v>0</v>
      </c>
      <c r="Z18" s="118">
        <f>(Z10*tab!$B8)</f>
        <v>0</v>
      </c>
      <c r="AA18" s="12"/>
      <c r="AC18" s="25"/>
      <c r="AD18" s="7"/>
    </row>
    <row r="19" spans="2:30" x14ac:dyDescent="0.2">
      <c r="B19" s="102"/>
      <c r="C19" s="1" t="s">
        <v>27</v>
      </c>
      <c r="E19" s="117">
        <f>SUM(G19:Z19)</f>
        <v>0</v>
      </c>
      <c r="G19" s="118">
        <f>IF(G10=0,0,(IF(G10&gt;=100,tab!$B10,tab!$B9)))</f>
        <v>0</v>
      </c>
      <c r="H19" s="118">
        <f>IF(H10=0,0,(IF(H10&gt;=100,tab!$B10,tab!$B9)))</f>
        <v>0</v>
      </c>
      <c r="I19" s="118">
        <f>IF(I10=0,0,(IF(I10&gt;=100,tab!$B10,tab!$B9)))</f>
        <v>0</v>
      </c>
      <c r="J19" s="118">
        <f>IF(J10=0,0,(IF(J10&gt;=100,tab!$B10,tab!$B9)))</f>
        <v>0</v>
      </c>
      <c r="K19" s="118">
        <f>IF(K10=0,0,(IF(K10&gt;=100,tab!$B10,tab!$B9)))</f>
        <v>0</v>
      </c>
      <c r="L19" s="118">
        <f>IF(L10=0,0,(IF(L10&gt;=100,tab!$B10,tab!$B9)))</f>
        <v>0</v>
      </c>
      <c r="M19" s="118">
        <f>IF(M10=0,0,(IF(M10&gt;=100,tab!$B10,tab!$B9)))</f>
        <v>0</v>
      </c>
      <c r="N19" s="118">
        <f>IF(N10=0,0,(IF(N10&gt;=100,tab!$B10,tab!$B9)))</f>
        <v>0</v>
      </c>
      <c r="O19" s="118">
        <f>IF(O10=0,0,(IF(O10&gt;=100,tab!$B10,tab!$B9)))</f>
        <v>0</v>
      </c>
      <c r="P19" s="118">
        <f>IF(P10=0,0,(IF(P10&gt;=100,tab!$B10,tab!$B9)))</f>
        <v>0</v>
      </c>
      <c r="Q19" s="118">
        <f>IF(Q10=0,0,(IF(Q10&gt;=100,tab!$B10,tab!$B9)))</f>
        <v>0</v>
      </c>
      <c r="R19" s="118">
        <f>IF(R10=0,0,(IF(R10&gt;=100,tab!$B10,tab!$B9)))</f>
        <v>0</v>
      </c>
      <c r="S19" s="118">
        <f>IF(S10=0,0,(IF(S10&gt;=100,tab!$B10,tab!$B9)))</f>
        <v>0</v>
      </c>
      <c r="T19" s="118">
        <f>IF(T10=0,0,(IF(T10&gt;=100,tab!$B10,tab!$B9)))</f>
        <v>0</v>
      </c>
      <c r="U19" s="118">
        <f>IF(U10=0,0,(IF(U10&gt;=100,tab!$B10,tab!$B9)))</f>
        <v>0</v>
      </c>
      <c r="V19" s="118">
        <f>IF(V10=0,0,(IF(V10&gt;=100,tab!$B10,tab!$B9)))</f>
        <v>0</v>
      </c>
      <c r="W19" s="118">
        <f>IF(W10=0,0,(IF(W10&gt;=100,tab!$B10,tab!$B9)))</f>
        <v>0</v>
      </c>
      <c r="X19" s="118">
        <f>IF(X10=0,0,(IF(X10&gt;=100,tab!$B10,tab!$B9)))</f>
        <v>0</v>
      </c>
      <c r="Y19" s="118">
        <f>IF(Y10=0,0,(IF(Y10&gt;=100,tab!$B10,tab!$B9)))</f>
        <v>0</v>
      </c>
      <c r="Z19" s="118">
        <f>IF(Z10=0,0,(IF(Z10&gt;=100,tab!$B10,tab!$B9)))</f>
        <v>0</v>
      </c>
      <c r="AA19" s="12"/>
    </row>
    <row r="20" spans="2:30" x14ac:dyDescent="0.2">
      <c r="B20" s="102"/>
      <c r="E20" s="119">
        <f>SUM(G20:Z20)</f>
        <v>0</v>
      </c>
      <c r="G20" s="120">
        <f>SUM(G18:G19)</f>
        <v>0</v>
      </c>
      <c r="H20" s="120">
        <f t="shared" ref="H20:Z20" si="1">SUM(H18:H19)</f>
        <v>0</v>
      </c>
      <c r="I20" s="120">
        <f t="shared" si="1"/>
        <v>0</v>
      </c>
      <c r="J20" s="120">
        <f t="shared" si="1"/>
        <v>0</v>
      </c>
      <c r="K20" s="120">
        <f t="shared" si="1"/>
        <v>0</v>
      </c>
      <c r="L20" s="120">
        <f t="shared" si="1"/>
        <v>0</v>
      </c>
      <c r="M20" s="120">
        <f t="shared" si="1"/>
        <v>0</v>
      </c>
      <c r="N20" s="120">
        <f t="shared" si="1"/>
        <v>0</v>
      </c>
      <c r="O20" s="120">
        <f t="shared" si="1"/>
        <v>0</v>
      </c>
      <c r="P20" s="120">
        <f t="shared" si="1"/>
        <v>0</v>
      </c>
      <c r="Q20" s="120">
        <f t="shared" si="1"/>
        <v>0</v>
      </c>
      <c r="R20" s="120">
        <f t="shared" si="1"/>
        <v>0</v>
      </c>
      <c r="S20" s="120">
        <f t="shared" si="1"/>
        <v>0</v>
      </c>
      <c r="T20" s="120">
        <f t="shared" si="1"/>
        <v>0</v>
      </c>
      <c r="U20" s="120">
        <f t="shared" si="1"/>
        <v>0</v>
      </c>
      <c r="V20" s="120">
        <f t="shared" si="1"/>
        <v>0</v>
      </c>
      <c r="W20" s="120">
        <f t="shared" si="1"/>
        <v>0</v>
      </c>
      <c r="X20" s="120">
        <f t="shared" si="1"/>
        <v>0</v>
      </c>
      <c r="Y20" s="120">
        <f t="shared" si="1"/>
        <v>0</v>
      </c>
      <c r="Z20" s="120">
        <f t="shared" si="1"/>
        <v>0</v>
      </c>
      <c r="AA20" s="12"/>
    </row>
    <row r="21" spans="2:30" x14ac:dyDescent="0.2">
      <c r="B21" s="102"/>
      <c r="C21" s="3" t="s">
        <v>28</v>
      </c>
      <c r="D21" s="3"/>
      <c r="E21" s="121"/>
      <c r="F21" s="3"/>
      <c r="G21" s="118"/>
      <c r="H21" s="118"/>
      <c r="I21" s="118"/>
      <c r="J21" s="118"/>
      <c r="K21" s="118"/>
      <c r="L21" s="118"/>
      <c r="M21" s="118"/>
      <c r="N21" s="118"/>
      <c r="O21" s="118"/>
      <c r="P21" s="118"/>
      <c r="Q21" s="118"/>
      <c r="R21" s="118"/>
      <c r="S21" s="118"/>
      <c r="T21" s="118"/>
      <c r="U21" s="118"/>
      <c r="V21" s="118"/>
      <c r="W21" s="118"/>
      <c r="X21" s="118"/>
      <c r="Y21" s="118"/>
      <c r="Z21" s="118"/>
      <c r="AA21" s="12"/>
    </row>
    <row r="22" spans="2:30" x14ac:dyDescent="0.2">
      <c r="B22" s="102"/>
      <c r="C22" s="1" t="s">
        <v>29</v>
      </c>
      <c r="E22" s="117">
        <f t="shared" ref="E22:E38" si="2">SUM(G22:Z22)</f>
        <v>0</v>
      </c>
      <c r="G22" s="118">
        <f>IF(G10=0,0,(IF(tab!$B11-(G10*tab!$B12)&lt;0,0,(tab!$B11-(G10*tab!$B12)))))</f>
        <v>0</v>
      </c>
      <c r="H22" s="118">
        <f>IF(H10=0,0,(IF(tab!$B11-(H10*tab!$B12)&lt;0,0,(tab!$B11-(H10*tab!$B12)))))</f>
        <v>0</v>
      </c>
      <c r="I22" s="118">
        <f>IF(I10=0,0,(IF(tab!$B11-(I10*tab!$B12)&lt;0,0,(tab!$B11-(I10*tab!$B12)))))</f>
        <v>0</v>
      </c>
      <c r="J22" s="118">
        <f>IF(J10=0,0,(IF(tab!$B11-(J10*tab!$B12)&lt;0,0,(tab!$B11-(J10*tab!$B12)))))</f>
        <v>0</v>
      </c>
      <c r="K22" s="118">
        <f>IF(K10=0,0,(IF(tab!$B11-(K10*tab!$B12)&lt;0,0,(tab!$B11-(K10*tab!$B12)))))</f>
        <v>0</v>
      </c>
      <c r="L22" s="118">
        <f>IF(L10=0,0,(IF(tab!$B11-(L10*tab!$B12)&lt;0,0,(tab!$B11-(L10*tab!$B12)))))</f>
        <v>0</v>
      </c>
      <c r="M22" s="118">
        <f>IF(M10=0,0,(IF(tab!$B11-(M10*tab!$B12)&lt;0,0,(tab!$B11-(M10*tab!$B12)))))</f>
        <v>0</v>
      </c>
      <c r="N22" s="118">
        <f>IF(N10=0,0,(IF(tab!$B11-(N10*tab!$B12)&lt;0,0,(tab!$B11-(N10*tab!$B12)))))</f>
        <v>0</v>
      </c>
      <c r="O22" s="118">
        <f>IF(O10=0,0,(IF(tab!$B11-(O10*tab!$B12)&lt;0,0,(tab!$B11-(O10*tab!$B12)))))</f>
        <v>0</v>
      </c>
      <c r="P22" s="118">
        <f>IF(P10=0,0,(IF(tab!$B11-(P10*tab!$B12)&lt;0,0,(tab!$B11-(P10*tab!$B12)))))</f>
        <v>0</v>
      </c>
      <c r="Q22" s="118">
        <f>IF(Q10=0,0,(IF(tab!$B11-(Q10*tab!$B12)&lt;0,0,(tab!$B11-(Q10*tab!$B12)))))</f>
        <v>0</v>
      </c>
      <c r="R22" s="118">
        <f>IF(R10=0,0,(IF(tab!$B11-(R10*tab!$B12)&lt;0,0,(tab!$B11-(R10*tab!$B12)))))</f>
        <v>0</v>
      </c>
      <c r="S22" s="118">
        <f>IF(S10=0,0,(IF(tab!$B11-(S10*tab!$B12)&lt;0,0,(tab!$B11-(S10*tab!$B12)))))</f>
        <v>0</v>
      </c>
      <c r="T22" s="118">
        <f>IF(T10=0,0,(IF(tab!$B11-(T10*tab!$B12)&lt;0,0,(tab!$B11-(T10*tab!$B12)))))</f>
        <v>0</v>
      </c>
      <c r="U22" s="118">
        <f>IF(U10=0,0,(IF(tab!$B11-(U10*tab!$B12)&lt;0,0,(tab!$B11-(U10*tab!$B12)))))</f>
        <v>0</v>
      </c>
      <c r="V22" s="118">
        <f>IF(V10=0,0,(IF(tab!$B11-(V10*tab!$B12)&lt;0,0,(tab!$B11-(V10*tab!$B12)))))</f>
        <v>0</v>
      </c>
      <c r="W22" s="118">
        <f>IF(W10=0,0,(IF(tab!$B11-(W10*tab!$B12)&lt;0,0,(tab!$B11-(W10*tab!$B12)))))</f>
        <v>0</v>
      </c>
      <c r="X22" s="118">
        <f>IF(X10=0,0,(IF(tab!$B11-(X10*tab!$B12)&lt;0,0,(tab!$B11-(X10*tab!$B12)))))</f>
        <v>0</v>
      </c>
      <c r="Y22" s="118">
        <f>IF(Y10=0,0,(IF(tab!$B11-(Y10*tab!$B12)&lt;0,0,(tab!$B11-(Y10*tab!$B12)))))</f>
        <v>0</v>
      </c>
      <c r="Z22" s="118">
        <f>IF(Z10=0,0,(IF(tab!$B11-(Z10*tab!$B12)&lt;0,0,(tab!$B11-(Z10*tab!$B12)))))</f>
        <v>0</v>
      </c>
      <c r="AA22" s="12"/>
    </row>
    <row r="23" spans="2:30" x14ac:dyDescent="0.2">
      <c r="B23" s="102"/>
      <c r="C23" s="1" t="s">
        <v>30</v>
      </c>
      <c r="E23" s="117">
        <f t="shared" si="2"/>
        <v>0</v>
      </c>
      <c r="G23" s="118">
        <f>IF(G10=0,0,(IF(tab!$B13-(G18+G19+G22+G24)&lt;0,0,tab!$B13-(G18+G19+G22+G24))))</f>
        <v>0</v>
      </c>
      <c r="H23" s="118">
        <f>IF(H10=0,0,(IF(tab!$B13-(H18+H19+H22+H24)&lt;0,0,tab!$B13-(H18+H19+H22+H24))))</f>
        <v>0</v>
      </c>
      <c r="I23" s="118">
        <f>IF(I10=0,0,(IF(tab!$B13-(I18+I19+I22+I24)&lt;0,0,tab!$B13-(I18+I19+I22+I24))))</f>
        <v>0</v>
      </c>
      <c r="J23" s="118">
        <f>IF(J10=0,0,(IF(tab!$B13-(J18+J19+J22+J24)&lt;0,0,tab!$B13-(J18+J19+J22+J24))))</f>
        <v>0</v>
      </c>
      <c r="K23" s="118">
        <f>IF(K10=0,0,(IF(tab!$B13-(K18+K19+K22+K24)&lt;0,0,tab!$B13-(K18+K19+K22+K24))))</f>
        <v>0</v>
      </c>
      <c r="L23" s="118">
        <f>IF(L10=0,0,(IF(tab!$B13-(L18+L19+L22+L24)&lt;0,0,tab!$B13-(L18+L19+L22+L24))))</f>
        <v>0</v>
      </c>
      <c r="M23" s="118">
        <f>IF(M10=0,0,(IF(tab!$B13-(M18+M19+M22+M24)&lt;0,0,tab!$B13-(M18+M19+M22+M24))))</f>
        <v>0</v>
      </c>
      <c r="N23" s="118">
        <f>IF(N10=0,0,(IF(tab!$B13-(N18+N19+N22+N24)&lt;0,0,tab!$B13-(N18+N19+N22+N24))))</f>
        <v>0</v>
      </c>
      <c r="O23" s="118">
        <f>IF(O10=0,0,(IF(tab!$B13-(O18+O19+O22+O24)&lt;0,0,tab!$B13-(O18+O19+O22+O24))))</f>
        <v>0</v>
      </c>
      <c r="P23" s="118">
        <f>IF(P10=0,0,(IF(tab!$B13-(P18+P19+P22+P24)&lt;0,0,tab!$B13-(P18+P19+P22+P24))))</f>
        <v>0</v>
      </c>
      <c r="Q23" s="118">
        <f>IF(Q10=0,0,(IF(tab!$B13-(Q18+Q19+Q22+Q24)&lt;0,0,tab!$B13-(Q18+Q19+Q22+Q24))))</f>
        <v>0</v>
      </c>
      <c r="R23" s="118">
        <f>IF(R10=0,0,(IF(tab!$B13-(R18+R19+R22+R24)&lt;0,0,tab!$B13-(R18+R19+R22+R24))))</f>
        <v>0</v>
      </c>
      <c r="S23" s="118">
        <f>IF(S10=0,0,(IF(tab!$B13-(S18+S19+S22+S24)&lt;0,0,tab!$B13-(S18+S19+S22+S24))))</f>
        <v>0</v>
      </c>
      <c r="T23" s="118">
        <f>IF(T10=0,0,(IF(tab!$B13-(T18+T19+T22+T24)&lt;0,0,tab!$B13-(T18+T19+T22+T24))))</f>
        <v>0</v>
      </c>
      <c r="U23" s="118">
        <f>IF(U10=0,0,(IF(tab!$B13-(U18+U19+U22+U24)&lt;0,0,tab!$B13-(U18+U19+U22+U24))))</f>
        <v>0</v>
      </c>
      <c r="V23" s="118">
        <f>IF(V10=0,0,(IF(tab!$B13-(V18+V19+V22+V24)&lt;0,0,tab!$B13-(V18+V19+V22+V24))))</f>
        <v>0</v>
      </c>
      <c r="W23" s="118">
        <f>IF(W10=0,0,(IF(tab!$B13-(W18+W19+W22+W24)&lt;0,0,tab!$B13-(W18+W19+W22+W24))))</f>
        <v>0</v>
      </c>
      <c r="X23" s="118">
        <f>IF(X10=0,0,(IF(tab!$B13-(X18+X19+X22+X24)&lt;0,0,tab!$B13-(X18+X19+X22+X24))))</f>
        <v>0</v>
      </c>
      <c r="Y23" s="118">
        <f>IF(Y10=0,0,(IF(tab!$B13-(Y18+Y19+Y22+Y24)&lt;0,0,tab!$B13-(Y18+Y19+Y22+Y24))))</f>
        <v>0</v>
      </c>
      <c r="Z23" s="118">
        <f>IF(Z10=0,0,(IF(tab!$B13-(Z18+Z19+Z22+Z24)&lt;0,0,tab!$B13-(Z18+Z19+Z22+Z24))))</f>
        <v>0</v>
      </c>
      <c r="AA23" s="12"/>
    </row>
    <row r="24" spans="2:30" x14ac:dyDescent="0.2">
      <c r="B24" s="102"/>
      <c r="C24" s="1" t="s">
        <v>186</v>
      </c>
      <c r="E24" s="117">
        <f t="shared" si="2"/>
        <v>0</v>
      </c>
      <c r="G24" s="118">
        <f t="shared" ref="G24" si="3">IF(G12=0,0,G29+G30)</f>
        <v>0</v>
      </c>
      <c r="H24" s="118">
        <f t="shared" ref="H24:Z24" si="4">IF(H12=0,0,H29+H30)</f>
        <v>0</v>
      </c>
      <c r="I24" s="118">
        <f t="shared" si="4"/>
        <v>0</v>
      </c>
      <c r="J24" s="118">
        <f t="shared" si="4"/>
        <v>0</v>
      </c>
      <c r="K24" s="118">
        <f t="shared" si="4"/>
        <v>0</v>
      </c>
      <c r="L24" s="118">
        <f t="shared" si="4"/>
        <v>0</v>
      </c>
      <c r="M24" s="118">
        <f t="shared" si="4"/>
        <v>0</v>
      </c>
      <c r="N24" s="118">
        <f t="shared" si="4"/>
        <v>0</v>
      </c>
      <c r="O24" s="118">
        <f t="shared" si="4"/>
        <v>0</v>
      </c>
      <c r="P24" s="118">
        <f t="shared" si="4"/>
        <v>0</v>
      </c>
      <c r="Q24" s="118">
        <f t="shared" si="4"/>
        <v>0</v>
      </c>
      <c r="R24" s="118">
        <f t="shared" si="4"/>
        <v>0</v>
      </c>
      <c r="S24" s="118">
        <f t="shared" si="4"/>
        <v>0</v>
      </c>
      <c r="T24" s="118">
        <f t="shared" si="4"/>
        <v>0</v>
      </c>
      <c r="U24" s="118">
        <f t="shared" si="4"/>
        <v>0</v>
      </c>
      <c r="V24" s="118">
        <f t="shared" si="4"/>
        <v>0</v>
      </c>
      <c r="W24" s="118">
        <f t="shared" si="4"/>
        <v>0</v>
      </c>
      <c r="X24" s="118">
        <f t="shared" si="4"/>
        <v>0</v>
      </c>
      <c r="Y24" s="118">
        <f t="shared" si="4"/>
        <v>0</v>
      </c>
      <c r="Z24" s="118">
        <f t="shared" si="4"/>
        <v>0</v>
      </c>
      <c r="AA24" s="12"/>
    </row>
    <row r="25" spans="2:30" s="27" customFormat="1" hidden="1" x14ac:dyDescent="0.2">
      <c r="B25" s="122"/>
      <c r="C25" s="123" t="s">
        <v>31</v>
      </c>
      <c r="D25" s="124"/>
      <c r="E25" s="117">
        <f t="shared" si="2"/>
        <v>4940560</v>
      </c>
      <c r="F25" s="124"/>
      <c r="G25" s="125">
        <f>IF((G10-G12-G13)&lt;150,tab!$B11-((G10-G12-G13)*tab!$B12),0)</f>
        <v>247028</v>
      </c>
      <c r="H25" s="125">
        <f>IF((H10-H12-H13)&lt;150,tab!$B11-((H10-H12-H13)*tab!$B12),0)</f>
        <v>247028</v>
      </c>
      <c r="I25" s="125">
        <f>IF((I10-I12-I13)&lt;150,tab!$B11-((I10-I12-I13)*tab!$B12),0)</f>
        <v>247028</v>
      </c>
      <c r="J25" s="125">
        <f>IF((J10-J12-J13)&lt;150,tab!$B11-((J10-J12-J13)*tab!$B12),0)</f>
        <v>247028</v>
      </c>
      <c r="K25" s="125">
        <f>IF((K10-K12-K13)&lt;150,tab!$B11-((K10-K12-K13)*tab!$B12),0)</f>
        <v>247028</v>
      </c>
      <c r="L25" s="125">
        <f>IF((L10-L12-L13)&lt;150,tab!$B11-((L10-L12-L13)*tab!$B12),0)</f>
        <v>247028</v>
      </c>
      <c r="M25" s="125">
        <f>IF((M10-M12-M13)&lt;150,tab!$B11-((M10-M12-M13)*tab!$B12),0)</f>
        <v>247028</v>
      </c>
      <c r="N25" s="125">
        <f>IF((N10-N12-N13)&lt;150,tab!$B11-((N10-N12-N13)*tab!$B12),0)</f>
        <v>247028</v>
      </c>
      <c r="O25" s="125">
        <f>IF((O10-O12-O13)&lt;150,tab!$B11-((O10-O12-O13)*tab!$B12),0)</f>
        <v>247028</v>
      </c>
      <c r="P25" s="125">
        <f>IF((P10-P12-P13)&lt;150,tab!$B11-((P10-P12-P13)*tab!$B12),0)</f>
        <v>247028</v>
      </c>
      <c r="Q25" s="125">
        <f>IF((Q10-Q12-Q13)&lt;150,tab!$B11-((Q10-Q12-Q13)*tab!$B12),0)</f>
        <v>247028</v>
      </c>
      <c r="R25" s="125">
        <f>IF((R10-R12-R13)&lt;150,tab!$B11-((R10-R12-R13)*tab!$B12),0)</f>
        <v>247028</v>
      </c>
      <c r="S25" s="125">
        <f>IF((S10-S12-S13)&lt;150,tab!$B11-((S10-S12-S13)*tab!$B12),0)</f>
        <v>247028</v>
      </c>
      <c r="T25" s="125">
        <f>IF((T10-T12-T13)&lt;150,tab!$B11-((T10-T12-T13)*tab!$B12),0)</f>
        <v>247028</v>
      </c>
      <c r="U25" s="125">
        <f>IF((U10-U12-U13)&lt;150,tab!$B11-((U10-U12-U13)*tab!$B12),0)</f>
        <v>247028</v>
      </c>
      <c r="V25" s="125">
        <f>IF((V10-V12-V13)&lt;150,tab!$B11-((V10-V12-V13)*tab!$B12),0)</f>
        <v>247028</v>
      </c>
      <c r="W25" s="125">
        <f>IF((W10-W12-W13)&lt;150,tab!$B11-((W10-W12-W13)*tab!$B12),0)</f>
        <v>247028</v>
      </c>
      <c r="X25" s="125">
        <f>IF((X10-X12-X13)&lt;150,tab!$B11-((X10-X12-X13)*tab!$B12),0)</f>
        <v>247028</v>
      </c>
      <c r="Y25" s="125">
        <f>IF((Y10-Y12-Y13)&lt;150,tab!$B11-((Y10-Y12-Y13)*tab!$B12),0)</f>
        <v>247028</v>
      </c>
      <c r="Z25" s="125">
        <f>IF((Z10-Z12-Z13)&lt;150,tab!$B11-((Z10-Z12-Z13)*tab!$B12),0)</f>
        <v>247028</v>
      </c>
      <c r="AA25" s="26"/>
    </row>
    <row r="26" spans="2:30" s="27" customFormat="1" hidden="1" x14ac:dyDescent="0.2">
      <c r="B26" s="122"/>
      <c r="C26" s="123" t="s">
        <v>32</v>
      </c>
      <c r="D26" s="124"/>
      <c r="E26" s="117">
        <f t="shared" si="2"/>
        <v>0</v>
      </c>
      <c r="F26" s="124"/>
      <c r="G26" s="125">
        <f>IF(G12=0,0,IF(G12&lt;150,tab!$B11-(G12*tab!$B12),0))</f>
        <v>0</v>
      </c>
      <c r="H26" s="125">
        <f>IF(H12=0,0,IF(H12&lt;150,tab!$B11-(H12*tab!$B12),0))</f>
        <v>0</v>
      </c>
      <c r="I26" s="125">
        <f>IF(I12=0,0,IF(I12&lt;150,tab!$B11-(I12*tab!$B12),0))</f>
        <v>0</v>
      </c>
      <c r="J26" s="125">
        <f>IF(J12=0,0,IF(J12&lt;150,tab!$B11-(J12*tab!$B12),0))</f>
        <v>0</v>
      </c>
      <c r="K26" s="125">
        <f>IF(K12=0,0,IF(K12&lt;150,tab!$B11-(K12*tab!$B12),0))</f>
        <v>0</v>
      </c>
      <c r="L26" s="125">
        <f>IF(L12=0,0,IF(L12&lt;150,tab!$B11-(L12*tab!$B12),0))</f>
        <v>0</v>
      </c>
      <c r="M26" s="125">
        <f>IF(M12=0,0,IF(M12&lt;150,tab!$B11-(M12*tab!$B12),0))</f>
        <v>0</v>
      </c>
      <c r="N26" s="125">
        <f>IF(N12=0,0,IF(N12&lt;150,tab!$B11-(N12*tab!$B12),0))</f>
        <v>0</v>
      </c>
      <c r="O26" s="125">
        <f>IF(O12=0,0,IF(O12&lt;150,tab!$B11-(O12*tab!$B12),0))</f>
        <v>0</v>
      </c>
      <c r="P26" s="125">
        <f>IF(P12=0,0,IF(P12&lt;150,tab!$B11-(P12*tab!$B12),0))</f>
        <v>0</v>
      </c>
      <c r="Q26" s="125">
        <f>IF(Q12=0,0,IF(Q12&lt;150,tab!$B11-(Q12*tab!$B12),0))</f>
        <v>0</v>
      </c>
      <c r="R26" s="125">
        <f>IF(R12=0,0,IF(R12&lt;150,tab!$B11-(R12*tab!$B12),0))</f>
        <v>0</v>
      </c>
      <c r="S26" s="125">
        <f>IF(S12=0,0,IF(S12&lt;150,tab!$B11-(S12*tab!$B12),0))</f>
        <v>0</v>
      </c>
      <c r="T26" s="125">
        <f>IF(T12=0,0,IF(T12&lt;150,tab!$B11-(T12*tab!$B12),0))</f>
        <v>0</v>
      </c>
      <c r="U26" s="125">
        <f>IF(U12=0,0,IF(U12&lt;150,tab!$B11-(U12*tab!$B12),0))</f>
        <v>0</v>
      </c>
      <c r="V26" s="125">
        <f>IF(V12=0,0,IF(V12&lt;150,tab!$B11-(V12*tab!$B12),0))</f>
        <v>0</v>
      </c>
      <c r="W26" s="125">
        <f>IF(W12=0,0,IF(W12&lt;150,tab!$B11-(W12*tab!$B12),0))</f>
        <v>0</v>
      </c>
      <c r="X26" s="125">
        <f>IF(X12=0,0,IF(X12&lt;150,tab!$B11-(X12*tab!$B12),0))</f>
        <v>0</v>
      </c>
      <c r="Y26" s="125">
        <f>IF(Y12=0,0,IF(Y12&lt;150,tab!$B11-(Y12*tab!$B12),0))</f>
        <v>0</v>
      </c>
      <c r="Z26" s="125">
        <f>IF(Z12=0,0,IF(Z12&lt;150,tab!$B11-(Z12*tab!$B12),0))</f>
        <v>0</v>
      </c>
      <c r="AA26" s="26"/>
    </row>
    <row r="27" spans="2:30" s="27" customFormat="1" hidden="1" x14ac:dyDescent="0.2">
      <c r="B27" s="122"/>
      <c r="C27" s="123" t="s">
        <v>33</v>
      </c>
      <c r="D27" s="124"/>
      <c r="E27" s="117">
        <f t="shared" si="2"/>
        <v>0</v>
      </c>
      <c r="F27" s="124"/>
      <c r="G27" s="125">
        <f>IF(G13=0,0,IF(G13&lt;150,tab!$B11-(G13*tab!$B12),0))</f>
        <v>0</v>
      </c>
      <c r="H27" s="125">
        <f>IF(H13=0,0,IF(H13&lt;150,tab!$B11-(H13*tab!$B12),0))</f>
        <v>0</v>
      </c>
      <c r="I27" s="125">
        <f>IF(I13=0,0,IF(I13&lt;150,tab!$B11-(I13*tab!$B12),0))</f>
        <v>0</v>
      </c>
      <c r="J27" s="125">
        <f>IF(J13=0,0,IF(J13&lt;150,tab!$B11-(J13*tab!$B12),0))</f>
        <v>0</v>
      </c>
      <c r="K27" s="125">
        <f>IF(K13=0,0,IF(K13&lt;150,tab!$B11-(K13*tab!$B12),0))</f>
        <v>0</v>
      </c>
      <c r="L27" s="125">
        <f>IF(L13=0,0,IF(L13&lt;150,tab!$B11-(L13*tab!$B12),0))</f>
        <v>0</v>
      </c>
      <c r="M27" s="125">
        <f>IF(M13=0,0,IF(M13&lt;150,tab!$B11-(M13*tab!$B12),0))</f>
        <v>0</v>
      </c>
      <c r="N27" s="125">
        <f>IF(N13=0,0,IF(N13&lt;150,tab!$B11-(N13*tab!$B12),0))</f>
        <v>0</v>
      </c>
      <c r="O27" s="125">
        <f>IF(O13=0,0,IF(O13&lt;150,tab!$B11-(O13*tab!$B12),0))</f>
        <v>0</v>
      </c>
      <c r="P27" s="125">
        <f>IF(P13=0,0,IF(P13&lt;150,tab!$B11-(P13*tab!$B12),0))</f>
        <v>0</v>
      </c>
      <c r="Q27" s="125">
        <f>IF(Q13=0,0,IF(Q13&lt;150,tab!$B11-(Q13*tab!$B12),0))</f>
        <v>0</v>
      </c>
      <c r="R27" s="125">
        <f>IF(R13=0,0,IF(R13&lt;150,tab!$B11-(R13*tab!$B12),0))</f>
        <v>0</v>
      </c>
      <c r="S27" s="125">
        <f>IF(S13=0,0,IF(S13&lt;150,tab!$B11-(S13*tab!$B12),0))</f>
        <v>0</v>
      </c>
      <c r="T27" s="125">
        <f>IF(T13=0,0,IF(T13&lt;150,tab!$B11-(T13*tab!$B12),0))</f>
        <v>0</v>
      </c>
      <c r="U27" s="125">
        <f>IF(U13=0,0,IF(U13&lt;150,tab!$B11-(U13*tab!$B12),0))</f>
        <v>0</v>
      </c>
      <c r="V27" s="125">
        <f>IF(V13=0,0,IF(V13&lt;150,tab!$B11-(V13*tab!$B12),0))</f>
        <v>0</v>
      </c>
      <c r="W27" s="125">
        <f>IF(W13=0,0,IF(W13&lt;150,tab!$B11-(W13*tab!$B12),0))</f>
        <v>0</v>
      </c>
      <c r="X27" s="125">
        <f>IF(X13=0,0,IF(X13&lt;150,tab!$B11-(X13*tab!$B12),0))</f>
        <v>0</v>
      </c>
      <c r="Y27" s="125">
        <f>IF(Y13=0,0,IF(Y13&lt;150,tab!$B11-(Y13*tab!$B12),0))</f>
        <v>0</v>
      </c>
      <c r="Z27" s="125">
        <f>IF(Z13=0,0,IF(Z13&lt;150,tab!$B11-(Z13*tab!$B12),0))</f>
        <v>0</v>
      </c>
      <c r="AA27" s="26"/>
    </row>
    <row r="28" spans="2:30" s="27" customFormat="1" hidden="1" x14ac:dyDescent="0.2">
      <c r="B28" s="122"/>
      <c r="C28" s="123" t="s">
        <v>34</v>
      </c>
      <c r="D28" s="124"/>
      <c r="E28" s="117">
        <f t="shared" si="2"/>
        <v>0</v>
      </c>
      <c r="F28" s="124"/>
      <c r="G28" s="125">
        <f t="shared" ref="G28" si="5">G22</f>
        <v>0</v>
      </c>
      <c r="H28" s="125">
        <f t="shared" ref="H28:Z28" si="6">H22</f>
        <v>0</v>
      </c>
      <c r="I28" s="125">
        <f t="shared" si="6"/>
        <v>0</v>
      </c>
      <c r="J28" s="125">
        <f t="shared" si="6"/>
        <v>0</v>
      </c>
      <c r="K28" s="125">
        <f t="shared" si="6"/>
        <v>0</v>
      </c>
      <c r="L28" s="125">
        <f t="shared" si="6"/>
        <v>0</v>
      </c>
      <c r="M28" s="125">
        <f t="shared" si="6"/>
        <v>0</v>
      </c>
      <c r="N28" s="125">
        <f t="shared" si="6"/>
        <v>0</v>
      </c>
      <c r="O28" s="125">
        <f t="shared" si="6"/>
        <v>0</v>
      </c>
      <c r="P28" s="125">
        <f t="shared" si="6"/>
        <v>0</v>
      </c>
      <c r="Q28" s="125">
        <f t="shared" si="6"/>
        <v>0</v>
      </c>
      <c r="R28" s="125">
        <f t="shared" si="6"/>
        <v>0</v>
      </c>
      <c r="S28" s="125">
        <f t="shared" si="6"/>
        <v>0</v>
      </c>
      <c r="T28" s="125">
        <f t="shared" si="6"/>
        <v>0</v>
      </c>
      <c r="U28" s="125">
        <f t="shared" si="6"/>
        <v>0</v>
      </c>
      <c r="V28" s="125">
        <f t="shared" si="6"/>
        <v>0</v>
      </c>
      <c r="W28" s="125">
        <f t="shared" si="6"/>
        <v>0</v>
      </c>
      <c r="X28" s="125">
        <f t="shared" si="6"/>
        <v>0</v>
      </c>
      <c r="Y28" s="125">
        <f t="shared" si="6"/>
        <v>0</v>
      </c>
      <c r="Z28" s="125">
        <f t="shared" si="6"/>
        <v>0</v>
      </c>
      <c r="AA28" s="26"/>
    </row>
    <row r="29" spans="2:30" s="27" customFormat="1" hidden="1" x14ac:dyDescent="0.2">
      <c r="B29" s="122"/>
      <c r="C29" s="123" t="s">
        <v>35</v>
      </c>
      <c r="D29" s="124"/>
      <c r="E29" s="117">
        <f t="shared" si="2"/>
        <v>2964335.9999999995</v>
      </c>
      <c r="F29" s="124"/>
      <c r="G29" s="125">
        <f t="shared" ref="G29" si="7">(SUM(G25:G27)-G28)*60%</f>
        <v>148216.79999999999</v>
      </c>
      <c r="H29" s="125">
        <f t="shared" ref="H29:Z29" si="8">(SUM(H25:H27)-H28)*60%</f>
        <v>148216.79999999999</v>
      </c>
      <c r="I29" s="125">
        <f t="shared" si="8"/>
        <v>148216.79999999999</v>
      </c>
      <c r="J29" s="125">
        <f t="shared" si="8"/>
        <v>148216.79999999999</v>
      </c>
      <c r="K29" s="125">
        <f t="shared" si="8"/>
        <v>148216.79999999999</v>
      </c>
      <c r="L29" s="125">
        <f t="shared" si="8"/>
        <v>148216.79999999999</v>
      </c>
      <c r="M29" s="125">
        <f t="shared" si="8"/>
        <v>148216.79999999999</v>
      </c>
      <c r="N29" s="125">
        <f t="shared" si="8"/>
        <v>148216.79999999999</v>
      </c>
      <c r="O29" s="125">
        <f t="shared" si="8"/>
        <v>148216.79999999999</v>
      </c>
      <c r="P29" s="125">
        <f t="shared" si="8"/>
        <v>148216.79999999999</v>
      </c>
      <c r="Q29" s="125">
        <f t="shared" si="8"/>
        <v>148216.79999999999</v>
      </c>
      <c r="R29" s="125">
        <f t="shared" si="8"/>
        <v>148216.79999999999</v>
      </c>
      <c r="S29" s="125">
        <f t="shared" si="8"/>
        <v>148216.79999999999</v>
      </c>
      <c r="T29" s="125">
        <f t="shared" si="8"/>
        <v>148216.79999999999</v>
      </c>
      <c r="U29" s="125">
        <f t="shared" si="8"/>
        <v>148216.79999999999</v>
      </c>
      <c r="V29" s="125">
        <f t="shared" si="8"/>
        <v>148216.79999999999</v>
      </c>
      <c r="W29" s="125">
        <f t="shared" si="8"/>
        <v>148216.79999999999</v>
      </c>
      <c r="X29" s="125">
        <f t="shared" si="8"/>
        <v>148216.79999999999</v>
      </c>
      <c r="Y29" s="125">
        <f t="shared" si="8"/>
        <v>148216.79999999999</v>
      </c>
      <c r="Z29" s="125">
        <f t="shared" si="8"/>
        <v>148216.79999999999</v>
      </c>
      <c r="AA29" s="26"/>
    </row>
    <row r="30" spans="2:30" s="27" customFormat="1" hidden="1" x14ac:dyDescent="0.2">
      <c r="B30" s="122"/>
      <c r="C30" s="123" t="s">
        <v>36</v>
      </c>
      <c r="D30" s="124"/>
      <c r="E30" s="117">
        <f t="shared" si="2"/>
        <v>386395.79999999993</v>
      </c>
      <c r="F30" s="124"/>
      <c r="G30" s="125">
        <f>IF(G13&gt;0,(tab!$B14*2),tab!$B14)</f>
        <v>19319.79</v>
      </c>
      <c r="H30" s="125">
        <f>IF(H13&gt;0,(tab!$B14*2),tab!$B14)</f>
        <v>19319.79</v>
      </c>
      <c r="I30" s="125">
        <f>IF(I13&gt;0,(tab!$B14*2),tab!$B14)</f>
        <v>19319.79</v>
      </c>
      <c r="J30" s="125">
        <f>IF(J13&gt;0,(tab!$B14*2),tab!$B14)</f>
        <v>19319.79</v>
      </c>
      <c r="K30" s="125">
        <f>IF(K13&gt;0,(tab!$B14*2),tab!$B14)</f>
        <v>19319.79</v>
      </c>
      <c r="L30" s="125">
        <f>IF(L13&gt;0,(tab!$B14*2),tab!$B14)</f>
        <v>19319.79</v>
      </c>
      <c r="M30" s="125">
        <f>IF(M13&gt;0,(tab!$B14*2),tab!$B14)</f>
        <v>19319.79</v>
      </c>
      <c r="N30" s="125">
        <f>IF(N13&gt;0,(tab!$B14*2),tab!$B14)</f>
        <v>19319.79</v>
      </c>
      <c r="O30" s="125">
        <f>IF(O13&gt;0,(tab!$B14*2),tab!$B14)</f>
        <v>19319.79</v>
      </c>
      <c r="P30" s="125">
        <f>IF(P13&gt;0,(tab!$B14*2),tab!$B14)</f>
        <v>19319.79</v>
      </c>
      <c r="Q30" s="125">
        <f>IF(Q13&gt;0,(tab!$B14*2),tab!$B14)</f>
        <v>19319.79</v>
      </c>
      <c r="R30" s="125">
        <f>IF(R13&gt;0,(tab!$B14*2),tab!$B14)</f>
        <v>19319.79</v>
      </c>
      <c r="S30" s="125">
        <f>IF(S13&gt;0,(tab!$B14*2),tab!$B14)</f>
        <v>19319.79</v>
      </c>
      <c r="T30" s="125">
        <f>IF(T13&gt;0,(tab!$B14*2),tab!$B14)</f>
        <v>19319.79</v>
      </c>
      <c r="U30" s="125">
        <f>IF(U13&gt;0,(tab!$B14*2),tab!$B14)</f>
        <v>19319.79</v>
      </c>
      <c r="V30" s="125">
        <f>IF(V13&gt;0,(tab!$B14*2),tab!$B14)</f>
        <v>19319.79</v>
      </c>
      <c r="W30" s="125">
        <f>IF(W13&gt;0,(tab!$B14*2),tab!$B14)</f>
        <v>19319.79</v>
      </c>
      <c r="X30" s="125">
        <f>IF(X13&gt;0,(tab!$B14*2),tab!$B14)</f>
        <v>19319.79</v>
      </c>
      <c r="Y30" s="125">
        <f>IF(Y13&gt;0,(tab!$B14*2),tab!$B14)</f>
        <v>19319.79</v>
      </c>
      <c r="Z30" s="125">
        <f>IF(Z13&gt;0,(tab!$B14*2),tab!$B14)</f>
        <v>19319.79</v>
      </c>
      <c r="AA30" s="26"/>
    </row>
    <row r="31" spans="2:30" x14ac:dyDescent="0.2">
      <c r="B31" s="102"/>
      <c r="C31" s="1" t="s">
        <v>37</v>
      </c>
      <c r="E31" s="117">
        <f t="shared" si="2"/>
        <v>0</v>
      </c>
      <c r="G31" s="118">
        <f>tab!$B15*G11</f>
        <v>0</v>
      </c>
      <c r="H31" s="118">
        <f>tab!$B15*H11</f>
        <v>0</v>
      </c>
      <c r="I31" s="118">
        <f>tab!$B15*I11</f>
        <v>0</v>
      </c>
      <c r="J31" s="118">
        <f>tab!$B15*J11</f>
        <v>0</v>
      </c>
      <c r="K31" s="118">
        <f>tab!$B15*K11</f>
        <v>0</v>
      </c>
      <c r="L31" s="118">
        <f>tab!$B15*L11</f>
        <v>0</v>
      </c>
      <c r="M31" s="118">
        <f>tab!$B15*M11</f>
        <v>0</v>
      </c>
      <c r="N31" s="118">
        <f>tab!$B15*N11</f>
        <v>0</v>
      </c>
      <c r="O31" s="118">
        <f>tab!$B15*O11</f>
        <v>0</v>
      </c>
      <c r="P31" s="118">
        <f>tab!$B15*P11</f>
        <v>0</v>
      </c>
      <c r="Q31" s="118">
        <f>tab!$B15*Q11</f>
        <v>0</v>
      </c>
      <c r="R31" s="118">
        <f>tab!$B15*R11</f>
        <v>0</v>
      </c>
      <c r="S31" s="118">
        <f>tab!$B15*S11</f>
        <v>0</v>
      </c>
      <c r="T31" s="118">
        <f>tab!$B15*T11</f>
        <v>0</v>
      </c>
      <c r="U31" s="118">
        <f>tab!$B15*U11</f>
        <v>0</v>
      </c>
      <c r="V31" s="118">
        <f>tab!$B15*V11</f>
        <v>0</v>
      </c>
      <c r="W31" s="118">
        <f>tab!$B15*W11</f>
        <v>0</v>
      </c>
      <c r="X31" s="118">
        <f>tab!$B15*X11</f>
        <v>0</v>
      </c>
      <c r="Y31" s="118">
        <f>tab!$B15*Y11</f>
        <v>0</v>
      </c>
      <c r="Z31" s="118">
        <f>tab!$B15*Z11</f>
        <v>0</v>
      </c>
      <c r="AA31" s="12"/>
    </row>
    <row r="32" spans="2:30" x14ac:dyDescent="0.2">
      <c r="B32" s="102"/>
      <c r="C32" s="1" t="s">
        <v>187</v>
      </c>
      <c r="E32" s="117">
        <f t="shared" si="2"/>
        <v>0</v>
      </c>
      <c r="G32" s="118">
        <f>IF(G14=0,0,(tab!$B16+(tab!$B17*G14)))</f>
        <v>0</v>
      </c>
      <c r="H32" s="118">
        <f>IF(H14=0,0,(tab!$B16+(tab!$B17*H14)))</f>
        <v>0</v>
      </c>
      <c r="I32" s="118">
        <f>IF(I14=0,0,(tab!$B16+(tab!$B17*I14)))</f>
        <v>0</v>
      </c>
      <c r="J32" s="118">
        <f>IF(J14=0,0,(tab!$B16+(tab!$B17*J14)))</f>
        <v>0</v>
      </c>
      <c r="K32" s="118">
        <f>IF(K14=0,0,(tab!$B16+(tab!$B17*K14)))</f>
        <v>0</v>
      </c>
      <c r="L32" s="118">
        <f>IF(L14=0,0,(tab!$B16+(tab!$B17*L14)))</f>
        <v>0</v>
      </c>
      <c r="M32" s="118">
        <f>IF(M14=0,0,(tab!$B16+(tab!$B17*M14)))</f>
        <v>0</v>
      </c>
      <c r="N32" s="118">
        <f>IF(N14=0,0,(tab!$B16+(tab!$B17*N14)))</f>
        <v>0</v>
      </c>
      <c r="O32" s="118">
        <f>IF(O14=0,0,(tab!$B16+(tab!$B17*O14)))</f>
        <v>0</v>
      </c>
      <c r="P32" s="118">
        <f>IF(P14=0,0,(tab!$B16+(tab!$B17*P14)))</f>
        <v>0</v>
      </c>
      <c r="Q32" s="118">
        <f>IF(Q14=0,0,(tab!$B16+(tab!$B17*Q14)))</f>
        <v>0</v>
      </c>
      <c r="R32" s="118">
        <f>IF(R14=0,0,(tab!$B16+(tab!$B17*R14)))</f>
        <v>0</v>
      </c>
      <c r="S32" s="118">
        <f>IF(S14=0,0,(tab!$B16+(tab!$B17*S14)))</f>
        <v>0</v>
      </c>
      <c r="T32" s="118">
        <f>IF(T14=0,0,(tab!$B16+(tab!$B17*T14)))</f>
        <v>0</v>
      </c>
      <c r="U32" s="118">
        <f>IF(U14=0,0,(tab!$B16+(tab!$B17*U14)))</f>
        <v>0</v>
      </c>
      <c r="V32" s="118">
        <f>IF(V14=0,0,(tab!$B16+(tab!$B17*V14)))</f>
        <v>0</v>
      </c>
      <c r="W32" s="118">
        <f>IF(W14=0,0,(tab!$B16+(tab!$B17*W14)))</f>
        <v>0</v>
      </c>
      <c r="X32" s="118">
        <f>IF(X14=0,0,(tab!$B16+(tab!$B17*X14)))</f>
        <v>0</v>
      </c>
      <c r="Y32" s="118">
        <f>IF(Y14=0,0,(tab!$B16+(tab!$B17*Y14)))</f>
        <v>0</v>
      </c>
      <c r="Z32" s="118">
        <f>IF(Z14=0,0,(tab!$B16+(tab!$B17*Z14)))</f>
        <v>0</v>
      </c>
      <c r="AA32" s="12"/>
    </row>
    <row r="33" spans="2:27" x14ac:dyDescent="0.2">
      <c r="B33" s="102"/>
      <c r="C33" s="1" t="s">
        <v>38</v>
      </c>
      <c r="E33" s="117">
        <f t="shared" si="2"/>
        <v>0</v>
      </c>
      <c r="G33" s="118">
        <f>(IF(G15&gt;0,tab!$B18,0)+(G15*tab!$B19))</f>
        <v>0</v>
      </c>
      <c r="H33" s="118">
        <f>(IF(H15&gt;0,tab!$B18,0)+(H15*tab!$B19))</f>
        <v>0</v>
      </c>
      <c r="I33" s="118">
        <f>(IF(I15&gt;0,tab!$B18,0)+(I15*tab!$B19))</f>
        <v>0</v>
      </c>
      <c r="J33" s="118">
        <f>(IF(J15&gt;0,tab!$B18,0)+(J15*tab!$B19))</f>
        <v>0</v>
      </c>
      <c r="K33" s="118">
        <f>(IF(K15&gt;0,tab!$B18,0)+(K15*tab!$B19))</f>
        <v>0</v>
      </c>
      <c r="L33" s="118">
        <f>(IF(L15&gt;0,tab!$B18,0)+(L15*tab!$B19))</f>
        <v>0</v>
      </c>
      <c r="M33" s="118">
        <f>(IF(M15&gt;0,tab!$B18,0)+(M15*tab!$B19))</f>
        <v>0</v>
      </c>
      <c r="N33" s="118">
        <f>(IF(N15&gt;0,tab!$B18,0)+(N15*tab!$B19))</f>
        <v>0</v>
      </c>
      <c r="O33" s="118">
        <f>(IF(O15&gt;0,tab!$B18,0)+(O15*tab!$B19))</f>
        <v>0</v>
      </c>
      <c r="P33" s="118">
        <f>(IF(P15&gt;0,tab!$B18,0)+(P15*tab!$B19))</f>
        <v>0</v>
      </c>
      <c r="Q33" s="118">
        <f>(IF(Q15&gt;0,tab!$B18,0)+(Q15*tab!$B19))</f>
        <v>0</v>
      </c>
      <c r="R33" s="118">
        <f>(IF(R15&gt;0,tab!$B18,0)+(R15*tab!$B19))</f>
        <v>0</v>
      </c>
      <c r="S33" s="118">
        <f>(IF(S15&gt;0,tab!$B18,0)+(S15*tab!$B19))</f>
        <v>0</v>
      </c>
      <c r="T33" s="118">
        <f>(IF(T15&gt;0,tab!$B18,0)+(T15*tab!$B19))</f>
        <v>0</v>
      </c>
      <c r="U33" s="118">
        <f>(IF(U15&gt;0,tab!$B18,0)+(U15*tab!$B19))</f>
        <v>0</v>
      </c>
      <c r="V33" s="118">
        <f>(IF(V15&gt;0,tab!$B18,0)+(V15*tab!$B19))</f>
        <v>0</v>
      </c>
      <c r="W33" s="118">
        <f>(IF(W15&gt;0,tab!$B18,0)+(W15*tab!$B19))</f>
        <v>0</v>
      </c>
      <c r="X33" s="118">
        <f>(IF(X15&gt;0,tab!$B18,0)+(X15*tab!$B19))</f>
        <v>0</v>
      </c>
      <c r="Y33" s="118">
        <f>(IF(Y15&gt;0,tab!$B18,0)+(Y15*tab!$B19))</f>
        <v>0</v>
      </c>
      <c r="Z33" s="118">
        <f>(IF(Z15&gt;0,tab!$B18,0)+(Z15*tab!$B19))</f>
        <v>0</v>
      </c>
      <c r="AA33" s="12"/>
    </row>
    <row r="34" spans="2:27" x14ac:dyDescent="0.2">
      <c r="B34" s="102"/>
      <c r="C34" s="1" t="s">
        <v>39</v>
      </c>
      <c r="E34" s="117">
        <f>'groei-bas'!F24</f>
        <v>0</v>
      </c>
      <c r="G34" s="118">
        <v>0</v>
      </c>
      <c r="H34" s="118"/>
      <c r="I34" s="118"/>
      <c r="J34" s="118"/>
      <c r="K34" s="118"/>
      <c r="L34" s="118"/>
      <c r="M34" s="118"/>
      <c r="N34" s="118"/>
      <c r="O34" s="118"/>
      <c r="P34" s="118"/>
      <c r="Q34" s="118"/>
      <c r="R34" s="118"/>
      <c r="S34" s="118"/>
      <c r="T34" s="118"/>
      <c r="U34" s="118"/>
      <c r="V34" s="118"/>
      <c r="W34" s="118"/>
      <c r="X34" s="118"/>
      <c r="Y34" s="118"/>
      <c r="Z34" s="118"/>
      <c r="AA34" s="12"/>
    </row>
    <row r="35" spans="2:27" x14ac:dyDescent="0.2">
      <c r="B35" s="102"/>
      <c r="C35" s="69" t="s">
        <v>188</v>
      </c>
      <c r="E35" s="117">
        <f t="shared" si="2"/>
        <v>0</v>
      </c>
      <c r="G35" s="118">
        <f>G10*tab!$B86</f>
        <v>0</v>
      </c>
      <c r="H35" s="118">
        <f>H10*tab!$B86</f>
        <v>0</v>
      </c>
      <c r="I35" s="118">
        <f>I10*tab!$B86</f>
        <v>0</v>
      </c>
      <c r="J35" s="118">
        <f>J10*tab!$B86</f>
        <v>0</v>
      </c>
      <c r="K35" s="118">
        <f>K10*tab!$B86</f>
        <v>0</v>
      </c>
      <c r="L35" s="118">
        <f>L10*tab!$B86</f>
        <v>0</v>
      </c>
      <c r="M35" s="118">
        <f>M10*tab!$B86</f>
        <v>0</v>
      </c>
      <c r="N35" s="118">
        <f>N10*tab!$B86</f>
        <v>0</v>
      </c>
      <c r="O35" s="118">
        <f>O10*tab!$B86</f>
        <v>0</v>
      </c>
      <c r="P35" s="118">
        <f>P10*tab!$B86</f>
        <v>0</v>
      </c>
      <c r="Q35" s="118">
        <f>Q10*tab!$B86</f>
        <v>0</v>
      </c>
      <c r="R35" s="118">
        <f>R10*tab!$B86</f>
        <v>0</v>
      </c>
      <c r="S35" s="118">
        <f>S10*tab!$B86</f>
        <v>0</v>
      </c>
      <c r="T35" s="118">
        <f>T10*tab!$B86</f>
        <v>0</v>
      </c>
      <c r="U35" s="118">
        <f>U10*tab!$B86</f>
        <v>0</v>
      </c>
      <c r="V35" s="118">
        <f>V10*tab!$B86</f>
        <v>0</v>
      </c>
      <c r="W35" s="118">
        <f>W10*tab!$B86</f>
        <v>0</v>
      </c>
      <c r="X35" s="118">
        <f>X10*tab!$B86</f>
        <v>0</v>
      </c>
      <c r="Y35" s="118">
        <f>Y10*tab!$B86</f>
        <v>0</v>
      </c>
      <c r="Z35" s="118">
        <f>Z10*tab!$B86</f>
        <v>0</v>
      </c>
      <c r="AA35" s="12"/>
    </row>
    <row r="36" spans="2:27" x14ac:dyDescent="0.2">
      <c r="B36" s="102"/>
      <c r="C36" s="35"/>
      <c r="E36" s="117"/>
      <c r="G36" s="118"/>
      <c r="H36" s="118"/>
      <c r="I36" s="118"/>
      <c r="J36" s="118"/>
      <c r="K36" s="118"/>
      <c r="L36" s="118"/>
      <c r="M36" s="118"/>
      <c r="N36" s="118"/>
      <c r="O36" s="118"/>
      <c r="P36" s="118"/>
      <c r="Q36" s="118"/>
      <c r="R36" s="118"/>
      <c r="S36" s="118"/>
      <c r="T36" s="118"/>
      <c r="U36" s="118"/>
      <c r="V36" s="118"/>
      <c r="W36" s="118"/>
      <c r="X36" s="118"/>
      <c r="Y36" s="118"/>
      <c r="Z36" s="118"/>
      <c r="AA36" s="12"/>
    </row>
    <row r="37" spans="2:27" x14ac:dyDescent="0.2">
      <c r="B37" s="102"/>
      <c r="C37" s="35"/>
      <c r="E37" s="117">
        <f t="shared" si="2"/>
        <v>0</v>
      </c>
      <c r="G37" s="118"/>
      <c r="H37" s="118"/>
      <c r="I37" s="118"/>
      <c r="J37" s="118"/>
      <c r="K37" s="118"/>
      <c r="L37" s="118"/>
      <c r="M37" s="118"/>
      <c r="N37" s="118"/>
      <c r="O37" s="118"/>
      <c r="P37" s="118"/>
      <c r="Q37" s="118"/>
      <c r="R37" s="118"/>
      <c r="S37" s="118"/>
      <c r="T37" s="118"/>
      <c r="U37" s="118"/>
      <c r="V37" s="118"/>
      <c r="W37" s="118"/>
      <c r="X37" s="118"/>
      <c r="Y37" s="118"/>
      <c r="Z37" s="118"/>
      <c r="AA37" s="12"/>
    </row>
    <row r="38" spans="2:27" x14ac:dyDescent="0.2">
      <c r="B38" s="102"/>
      <c r="E38" s="119">
        <f t="shared" si="2"/>
        <v>0</v>
      </c>
      <c r="G38" s="120">
        <f>SUM(G22:G24)+SUM(G31:G37)</f>
        <v>0</v>
      </c>
      <c r="H38" s="120">
        <f t="shared" ref="H38:Z38" si="9">SUM(H22:H24)+SUM(H31:H37)</f>
        <v>0</v>
      </c>
      <c r="I38" s="120">
        <f t="shared" si="9"/>
        <v>0</v>
      </c>
      <c r="J38" s="120">
        <f t="shared" si="9"/>
        <v>0</v>
      </c>
      <c r="K38" s="120">
        <f t="shared" si="9"/>
        <v>0</v>
      </c>
      <c r="L38" s="120">
        <f t="shared" si="9"/>
        <v>0</v>
      </c>
      <c r="M38" s="120">
        <f t="shared" si="9"/>
        <v>0</v>
      </c>
      <c r="N38" s="120">
        <f t="shared" si="9"/>
        <v>0</v>
      </c>
      <c r="O38" s="120">
        <f t="shared" si="9"/>
        <v>0</v>
      </c>
      <c r="P38" s="120">
        <f t="shared" si="9"/>
        <v>0</v>
      </c>
      <c r="Q38" s="120">
        <f t="shared" si="9"/>
        <v>0</v>
      </c>
      <c r="R38" s="120">
        <f t="shared" si="9"/>
        <v>0</v>
      </c>
      <c r="S38" s="120">
        <f t="shared" si="9"/>
        <v>0</v>
      </c>
      <c r="T38" s="120">
        <f t="shared" si="9"/>
        <v>0</v>
      </c>
      <c r="U38" s="120">
        <f t="shared" si="9"/>
        <v>0</v>
      </c>
      <c r="V38" s="120">
        <f t="shared" si="9"/>
        <v>0</v>
      </c>
      <c r="W38" s="120">
        <f t="shared" si="9"/>
        <v>0</v>
      </c>
      <c r="X38" s="120">
        <f t="shared" si="9"/>
        <v>0</v>
      </c>
      <c r="Y38" s="120">
        <f t="shared" si="9"/>
        <v>0</v>
      </c>
      <c r="Z38" s="120">
        <f t="shared" si="9"/>
        <v>0</v>
      </c>
      <c r="AA38" s="12"/>
    </row>
    <row r="39" spans="2:27" x14ac:dyDescent="0.2">
      <c r="B39" s="102"/>
      <c r="C39" s="3" t="s">
        <v>40</v>
      </c>
      <c r="E39" s="37"/>
      <c r="G39" s="118"/>
      <c r="H39" s="118"/>
      <c r="I39" s="118"/>
      <c r="J39" s="118"/>
      <c r="K39" s="118"/>
      <c r="L39" s="118"/>
      <c r="M39" s="118"/>
      <c r="N39" s="118"/>
      <c r="O39" s="118"/>
      <c r="P39" s="118"/>
      <c r="Q39" s="118"/>
      <c r="R39" s="118"/>
      <c r="S39" s="118"/>
      <c r="T39" s="118"/>
      <c r="U39" s="118"/>
      <c r="V39" s="118"/>
      <c r="W39" s="118"/>
      <c r="X39" s="118"/>
      <c r="Y39" s="118"/>
      <c r="Z39" s="118"/>
      <c r="AA39" s="12"/>
    </row>
    <row r="40" spans="2:27" x14ac:dyDescent="0.2">
      <c r="B40" s="102"/>
      <c r="C40" s="141" t="s">
        <v>41</v>
      </c>
      <c r="E40" s="117">
        <f t="shared" ref="E40:E44" si="10">SUM(G40:Z40)</f>
        <v>0</v>
      </c>
      <c r="G40" s="61">
        <v>0</v>
      </c>
      <c r="H40" s="61">
        <v>0</v>
      </c>
      <c r="I40" s="61">
        <v>0</v>
      </c>
      <c r="J40" s="61">
        <v>0</v>
      </c>
      <c r="K40" s="61">
        <v>0</v>
      </c>
      <c r="L40" s="61">
        <v>0</v>
      </c>
      <c r="M40" s="61">
        <v>0</v>
      </c>
      <c r="N40" s="61">
        <v>0</v>
      </c>
      <c r="O40" s="61">
        <v>0</v>
      </c>
      <c r="P40" s="61">
        <v>0</v>
      </c>
      <c r="Q40" s="61">
        <v>0</v>
      </c>
      <c r="R40" s="61">
        <v>0</v>
      </c>
      <c r="S40" s="61">
        <v>0</v>
      </c>
      <c r="T40" s="61">
        <v>0</v>
      </c>
      <c r="U40" s="61">
        <v>0</v>
      </c>
      <c r="V40" s="61">
        <v>0</v>
      </c>
      <c r="W40" s="61">
        <v>0</v>
      </c>
      <c r="X40" s="61">
        <v>0</v>
      </c>
      <c r="Y40" s="61">
        <v>0</v>
      </c>
      <c r="Z40" s="61">
        <v>0</v>
      </c>
      <c r="AA40" s="12"/>
    </row>
    <row r="41" spans="2:27" x14ac:dyDescent="0.2">
      <c r="B41" s="102"/>
      <c r="C41" s="142"/>
      <c r="E41" s="117">
        <f t="shared" si="10"/>
        <v>0</v>
      </c>
      <c r="G41" s="61">
        <v>0</v>
      </c>
      <c r="H41" s="61">
        <v>0</v>
      </c>
      <c r="I41" s="61">
        <v>0</v>
      </c>
      <c r="J41" s="61">
        <v>0</v>
      </c>
      <c r="K41" s="61">
        <v>0</v>
      </c>
      <c r="L41" s="61">
        <v>0</v>
      </c>
      <c r="M41" s="61">
        <v>0</v>
      </c>
      <c r="N41" s="61">
        <v>0</v>
      </c>
      <c r="O41" s="61">
        <v>0</v>
      </c>
      <c r="P41" s="61">
        <v>0</v>
      </c>
      <c r="Q41" s="61">
        <v>0</v>
      </c>
      <c r="R41" s="61">
        <v>0</v>
      </c>
      <c r="S41" s="61">
        <v>0</v>
      </c>
      <c r="T41" s="61">
        <v>0</v>
      </c>
      <c r="U41" s="61">
        <v>0</v>
      </c>
      <c r="V41" s="61">
        <v>0</v>
      </c>
      <c r="W41" s="61">
        <v>0</v>
      </c>
      <c r="X41" s="61">
        <v>0</v>
      </c>
      <c r="Y41" s="61">
        <v>0</v>
      </c>
      <c r="Z41" s="61">
        <v>0</v>
      </c>
      <c r="AA41" s="12"/>
    </row>
    <row r="42" spans="2:27" x14ac:dyDescent="0.2">
      <c r="B42" s="102"/>
      <c r="C42" s="142"/>
      <c r="E42" s="117">
        <f t="shared" si="10"/>
        <v>0</v>
      </c>
      <c r="G42" s="61">
        <v>0</v>
      </c>
      <c r="H42" s="61">
        <v>0</v>
      </c>
      <c r="I42" s="61">
        <v>0</v>
      </c>
      <c r="J42" s="61">
        <v>0</v>
      </c>
      <c r="K42" s="61">
        <v>0</v>
      </c>
      <c r="L42" s="61">
        <v>0</v>
      </c>
      <c r="M42" s="61">
        <v>0</v>
      </c>
      <c r="N42" s="61">
        <v>0</v>
      </c>
      <c r="O42" s="61">
        <v>0</v>
      </c>
      <c r="P42" s="61">
        <v>0</v>
      </c>
      <c r="Q42" s="61">
        <v>0</v>
      </c>
      <c r="R42" s="61">
        <v>0</v>
      </c>
      <c r="S42" s="61">
        <v>0</v>
      </c>
      <c r="T42" s="61">
        <v>0</v>
      </c>
      <c r="U42" s="61">
        <v>0</v>
      </c>
      <c r="V42" s="61">
        <v>0</v>
      </c>
      <c r="W42" s="61">
        <v>0</v>
      </c>
      <c r="X42" s="61">
        <v>0</v>
      </c>
      <c r="Y42" s="61">
        <v>0</v>
      </c>
      <c r="Z42" s="61">
        <v>0</v>
      </c>
      <c r="AA42" s="12"/>
    </row>
    <row r="43" spans="2:27" x14ac:dyDescent="0.2">
      <c r="B43" s="102"/>
      <c r="C43" s="142"/>
      <c r="E43" s="117">
        <f t="shared" si="10"/>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12"/>
    </row>
    <row r="44" spans="2:27" x14ac:dyDescent="0.2">
      <c r="B44" s="102"/>
      <c r="C44" s="142"/>
      <c r="E44" s="117">
        <f t="shared" si="10"/>
        <v>0</v>
      </c>
      <c r="G44" s="61">
        <v>0</v>
      </c>
      <c r="H44" s="61">
        <v>0</v>
      </c>
      <c r="I44" s="61">
        <v>0</v>
      </c>
      <c r="J44" s="61">
        <v>0</v>
      </c>
      <c r="K44" s="61">
        <v>0</v>
      </c>
      <c r="L44" s="61">
        <v>0</v>
      </c>
      <c r="M44" s="61">
        <v>0</v>
      </c>
      <c r="N44" s="61">
        <v>0</v>
      </c>
      <c r="O44" s="61">
        <v>0</v>
      </c>
      <c r="P44" s="61">
        <v>0</v>
      </c>
      <c r="Q44" s="61">
        <v>0</v>
      </c>
      <c r="R44" s="61">
        <v>0</v>
      </c>
      <c r="S44" s="61">
        <v>0</v>
      </c>
      <c r="T44" s="61">
        <v>0</v>
      </c>
      <c r="U44" s="61">
        <v>0</v>
      </c>
      <c r="V44" s="61">
        <v>0</v>
      </c>
      <c r="W44" s="61">
        <v>0</v>
      </c>
      <c r="X44" s="61">
        <v>0</v>
      </c>
      <c r="Y44" s="61">
        <v>0</v>
      </c>
      <c r="Z44" s="61">
        <v>0</v>
      </c>
      <c r="AA44" s="12"/>
    </row>
    <row r="45" spans="2:27" x14ac:dyDescent="0.2">
      <c r="B45" s="102"/>
      <c r="E45" s="1"/>
      <c r="G45" s="126">
        <f>SUM(G40:G44)</f>
        <v>0</v>
      </c>
      <c r="H45" s="126">
        <f t="shared" ref="H45:Z45" si="11">SUM(H40:H44)</f>
        <v>0</v>
      </c>
      <c r="I45" s="126">
        <f t="shared" si="11"/>
        <v>0</v>
      </c>
      <c r="J45" s="126">
        <f t="shared" si="11"/>
        <v>0</v>
      </c>
      <c r="K45" s="126">
        <f t="shared" si="11"/>
        <v>0</v>
      </c>
      <c r="L45" s="126">
        <f t="shared" si="11"/>
        <v>0</v>
      </c>
      <c r="M45" s="126">
        <f t="shared" si="11"/>
        <v>0</v>
      </c>
      <c r="N45" s="126">
        <f t="shared" si="11"/>
        <v>0</v>
      </c>
      <c r="O45" s="126">
        <f t="shared" si="11"/>
        <v>0</v>
      </c>
      <c r="P45" s="126">
        <f t="shared" si="11"/>
        <v>0</v>
      </c>
      <c r="Q45" s="126">
        <f t="shared" si="11"/>
        <v>0</v>
      </c>
      <c r="R45" s="126">
        <f t="shared" si="11"/>
        <v>0</v>
      </c>
      <c r="S45" s="126">
        <f t="shared" si="11"/>
        <v>0</v>
      </c>
      <c r="T45" s="126">
        <f t="shared" si="11"/>
        <v>0</v>
      </c>
      <c r="U45" s="126">
        <f t="shared" si="11"/>
        <v>0</v>
      </c>
      <c r="V45" s="126">
        <f t="shared" si="11"/>
        <v>0</v>
      </c>
      <c r="W45" s="126">
        <f t="shared" si="11"/>
        <v>0</v>
      </c>
      <c r="X45" s="126">
        <f t="shared" si="11"/>
        <v>0</v>
      </c>
      <c r="Y45" s="126">
        <f t="shared" si="11"/>
        <v>0</v>
      </c>
      <c r="Z45" s="126">
        <f t="shared" si="11"/>
        <v>0</v>
      </c>
      <c r="AA45" s="12"/>
    </row>
    <row r="46" spans="2:27" x14ac:dyDescent="0.2">
      <c r="B46" s="102"/>
      <c r="E46" s="37"/>
      <c r="G46" s="36"/>
      <c r="H46" s="36"/>
      <c r="I46" s="36"/>
      <c r="J46" s="36"/>
      <c r="K46" s="36"/>
      <c r="L46" s="36"/>
      <c r="M46" s="36"/>
      <c r="N46" s="36"/>
      <c r="O46" s="36"/>
      <c r="P46" s="36"/>
      <c r="Q46" s="36"/>
      <c r="R46" s="36"/>
      <c r="S46" s="36"/>
      <c r="T46" s="36"/>
      <c r="U46" s="36"/>
      <c r="V46" s="36"/>
      <c r="W46" s="36"/>
      <c r="X46" s="36"/>
      <c r="Y46" s="36"/>
      <c r="Z46" s="36"/>
      <c r="AA46" s="12"/>
    </row>
    <row r="47" spans="2:27" x14ac:dyDescent="0.2">
      <c r="B47" s="102"/>
      <c r="C47" s="3" t="s">
        <v>42</v>
      </c>
      <c r="D47" s="3"/>
      <c r="E47" s="127">
        <f>SUM(G47:Z47)</f>
        <v>0</v>
      </c>
      <c r="F47" s="3"/>
      <c r="G47" s="128">
        <f>G20+G38+G45</f>
        <v>0</v>
      </c>
      <c r="H47" s="128">
        <f t="shared" ref="H47:Z47" si="12">H20+H38+H45</f>
        <v>0</v>
      </c>
      <c r="I47" s="128">
        <f t="shared" si="12"/>
        <v>0</v>
      </c>
      <c r="J47" s="128">
        <f t="shared" si="12"/>
        <v>0</v>
      </c>
      <c r="K47" s="128">
        <f t="shared" si="12"/>
        <v>0</v>
      </c>
      <c r="L47" s="128">
        <f t="shared" si="12"/>
        <v>0</v>
      </c>
      <c r="M47" s="128">
        <f t="shared" si="12"/>
        <v>0</v>
      </c>
      <c r="N47" s="128">
        <f t="shared" si="12"/>
        <v>0</v>
      </c>
      <c r="O47" s="128">
        <f t="shared" si="12"/>
        <v>0</v>
      </c>
      <c r="P47" s="128">
        <f t="shared" si="12"/>
        <v>0</v>
      </c>
      <c r="Q47" s="128">
        <f t="shared" si="12"/>
        <v>0</v>
      </c>
      <c r="R47" s="128">
        <f t="shared" si="12"/>
        <v>0</v>
      </c>
      <c r="S47" s="128">
        <f t="shared" si="12"/>
        <v>0</v>
      </c>
      <c r="T47" s="128">
        <f t="shared" si="12"/>
        <v>0</v>
      </c>
      <c r="U47" s="128">
        <f t="shared" si="12"/>
        <v>0</v>
      </c>
      <c r="V47" s="128">
        <f t="shared" si="12"/>
        <v>0</v>
      </c>
      <c r="W47" s="128">
        <f t="shared" si="12"/>
        <v>0</v>
      </c>
      <c r="X47" s="128">
        <f t="shared" si="12"/>
        <v>0</v>
      </c>
      <c r="Y47" s="128">
        <f t="shared" si="12"/>
        <v>0</v>
      </c>
      <c r="Z47" s="128">
        <f t="shared" si="12"/>
        <v>0</v>
      </c>
      <c r="AA47" s="12"/>
    </row>
    <row r="48" spans="2:27" s="7" customFormat="1" x14ac:dyDescent="0.2">
      <c r="B48" s="129"/>
      <c r="C48" s="130"/>
      <c r="D48" s="130"/>
      <c r="E48" s="131"/>
      <c r="F48" s="130"/>
      <c r="G48" s="131"/>
      <c r="H48" s="131"/>
      <c r="I48" s="131"/>
      <c r="J48" s="131"/>
      <c r="K48" s="131"/>
      <c r="L48" s="131"/>
      <c r="M48" s="131"/>
      <c r="N48" s="131"/>
      <c r="O48" s="131"/>
      <c r="P48" s="131"/>
      <c r="Q48" s="131"/>
      <c r="R48" s="131"/>
      <c r="S48" s="131"/>
      <c r="T48" s="131"/>
      <c r="U48" s="131"/>
      <c r="V48" s="131"/>
      <c r="W48" s="131"/>
      <c r="X48" s="131"/>
      <c r="Y48" s="131"/>
      <c r="Z48" s="131"/>
      <c r="AA48" s="12"/>
    </row>
    <row r="49" spans="2:36" x14ac:dyDescent="0.2">
      <c r="B49" s="102"/>
      <c r="C49" s="3" t="s">
        <v>43</v>
      </c>
      <c r="G49" s="1"/>
      <c r="H49" s="1"/>
      <c r="I49" s="1"/>
      <c r="J49" s="1"/>
      <c r="K49" s="1"/>
      <c r="L49" s="1"/>
      <c r="M49" s="1"/>
      <c r="N49" s="1"/>
      <c r="O49" s="1"/>
      <c r="P49" s="1"/>
      <c r="Q49" s="1"/>
      <c r="R49" s="1"/>
      <c r="S49" s="1"/>
      <c r="T49" s="1"/>
      <c r="U49" s="1"/>
      <c r="V49" s="1"/>
      <c r="W49" s="1"/>
      <c r="X49" s="1"/>
      <c r="Y49" s="1"/>
      <c r="Z49" s="1"/>
      <c r="AA49" s="12"/>
    </row>
    <row r="50" spans="2:36" x14ac:dyDescent="0.2">
      <c r="B50" s="102"/>
      <c r="C50" s="3"/>
      <c r="G50" s="1"/>
      <c r="H50" s="1"/>
      <c r="I50" s="1"/>
      <c r="J50" s="1"/>
      <c r="K50" s="1"/>
      <c r="L50" s="1"/>
      <c r="M50" s="1"/>
      <c r="N50" s="1"/>
      <c r="O50" s="1"/>
      <c r="P50" s="1"/>
      <c r="Q50" s="1"/>
      <c r="R50" s="1"/>
      <c r="S50" s="1"/>
      <c r="T50" s="1"/>
      <c r="U50" s="1"/>
      <c r="V50" s="1"/>
      <c r="W50" s="1"/>
      <c r="X50" s="1"/>
      <c r="Y50" s="1"/>
      <c r="Z50" s="1"/>
      <c r="AA50" s="12"/>
    </row>
    <row r="51" spans="2:36" x14ac:dyDescent="0.2">
      <c r="B51" s="139" t="s">
        <v>205</v>
      </c>
      <c r="C51" s="92" t="s">
        <v>197</v>
      </c>
      <c r="E51" s="48"/>
      <c r="G51" s="118">
        <f>IF(G10=0,0,(G20+G22+G23+G24+G31+G32)/G10)</f>
        <v>0</v>
      </c>
      <c r="H51" s="118">
        <f t="shared" ref="H51:Z51" si="13">IF(H10=0,0,(H20+H22+H23+H24+H31+H32)/H10)</f>
        <v>0</v>
      </c>
      <c r="I51" s="118">
        <f t="shared" si="13"/>
        <v>0</v>
      </c>
      <c r="J51" s="118">
        <f t="shared" si="13"/>
        <v>0</v>
      </c>
      <c r="K51" s="118">
        <f t="shared" si="13"/>
        <v>0</v>
      </c>
      <c r="L51" s="118">
        <f t="shared" si="13"/>
        <v>0</v>
      </c>
      <c r="M51" s="118">
        <f t="shared" si="13"/>
        <v>0</v>
      </c>
      <c r="N51" s="118">
        <f t="shared" si="13"/>
        <v>0</v>
      </c>
      <c r="O51" s="118">
        <f t="shared" si="13"/>
        <v>0</v>
      </c>
      <c r="P51" s="118">
        <f t="shared" si="13"/>
        <v>0</v>
      </c>
      <c r="Q51" s="118">
        <f t="shared" si="13"/>
        <v>0</v>
      </c>
      <c r="R51" s="118">
        <f t="shared" si="13"/>
        <v>0</v>
      </c>
      <c r="S51" s="118">
        <f t="shared" si="13"/>
        <v>0</v>
      </c>
      <c r="T51" s="118">
        <f t="shared" si="13"/>
        <v>0</v>
      </c>
      <c r="U51" s="118">
        <f t="shared" si="13"/>
        <v>0</v>
      </c>
      <c r="V51" s="118">
        <f t="shared" si="13"/>
        <v>0</v>
      </c>
      <c r="W51" s="118">
        <f t="shared" si="13"/>
        <v>0</v>
      </c>
      <c r="X51" s="118">
        <f t="shared" si="13"/>
        <v>0</v>
      </c>
      <c r="Y51" s="118">
        <f t="shared" si="13"/>
        <v>0</v>
      </c>
      <c r="Z51" s="118">
        <f t="shared" si="13"/>
        <v>0</v>
      </c>
      <c r="AA51" s="12"/>
      <c r="AD51" s="7"/>
      <c r="AE51" s="7"/>
      <c r="AF51" s="7"/>
      <c r="AG51" s="7"/>
      <c r="AH51" s="7"/>
      <c r="AI51" s="7"/>
      <c r="AJ51" s="7"/>
    </row>
    <row r="52" spans="2:36" x14ac:dyDescent="0.2">
      <c r="B52" s="139" t="s">
        <v>206</v>
      </c>
      <c r="C52" s="92" t="s">
        <v>198</v>
      </c>
      <c r="E52" s="48"/>
      <c r="G52" s="118">
        <f>IF('basisscholen 2023 overgangsreg.'!G10=0,0,'basisscholen 2023 overgangsreg.'!G49*(1+tab!$B88))</f>
        <v>0</v>
      </c>
      <c r="H52" s="118">
        <f>IF('basisscholen 2023 overgangsreg.'!H10=0,0,'basisscholen 2023 overgangsreg.'!H49*(1+tab!$B88))</f>
        <v>0</v>
      </c>
      <c r="I52" s="118">
        <f>IF('basisscholen 2023 overgangsreg.'!I10=0,0,'basisscholen 2023 overgangsreg.'!I49*(1+tab!$B88))</f>
        <v>0</v>
      </c>
      <c r="J52" s="118">
        <f>IF('basisscholen 2023 overgangsreg.'!J10=0,0,'basisscholen 2023 overgangsreg.'!J49*(1+tab!$B88))</f>
        <v>0</v>
      </c>
      <c r="K52" s="118">
        <f>IF('basisscholen 2023 overgangsreg.'!K10=0,0,'basisscholen 2023 overgangsreg.'!K49*(1+tab!$B88))</f>
        <v>0</v>
      </c>
      <c r="L52" s="118">
        <f>IF('basisscholen 2023 overgangsreg.'!L10=0,0,'basisscholen 2023 overgangsreg.'!L49*(1+tab!$B88))</f>
        <v>0</v>
      </c>
      <c r="M52" s="118">
        <f>IF('basisscholen 2023 overgangsreg.'!M10=0,0,'basisscholen 2023 overgangsreg.'!M49*(1+tab!$B88))</f>
        <v>0</v>
      </c>
      <c r="N52" s="118">
        <f>IF('basisscholen 2023 overgangsreg.'!N10=0,0,'basisscholen 2023 overgangsreg.'!N49*(1+tab!$B88))</f>
        <v>0</v>
      </c>
      <c r="O52" s="118">
        <f>IF('basisscholen 2023 overgangsreg.'!O10=0,0,'basisscholen 2023 overgangsreg.'!O49*(1+tab!$B88))</f>
        <v>0</v>
      </c>
      <c r="P52" s="118">
        <f>IF('basisscholen 2023 overgangsreg.'!P10=0,0,'basisscholen 2023 overgangsreg.'!P49*(1+tab!$B88))</f>
        <v>0</v>
      </c>
      <c r="Q52" s="118">
        <f>IF('basisscholen 2023 overgangsreg.'!Q10=0,0,'basisscholen 2023 overgangsreg.'!Q49*(1+tab!$B88))</f>
        <v>0</v>
      </c>
      <c r="R52" s="118">
        <f>IF('basisscholen 2023 overgangsreg.'!R10=0,0,'basisscholen 2023 overgangsreg.'!R49*(1+tab!$B88))</f>
        <v>0</v>
      </c>
      <c r="S52" s="118">
        <f>IF('basisscholen 2023 overgangsreg.'!S10=0,0,'basisscholen 2023 overgangsreg.'!S49*(1+tab!$B88))</f>
        <v>0</v>
      </c>
      <c r="T52" s="118">
        <f>IF('basisscholen 2023 overgangsreg.'!T10=0,0,'basisscholen 2023 overgangsreg.'!T49*(1+tab!$B88))</f>
        <v>0</v>
      </c>
      <c r="U52" s="118">
        <f>IF('basisscholen 2023 overgangsreg.'!U10=0,0,'basisscholen 2023 overgangsreg.'!U49*(1+tab!$B88))</f>
        <v>0</v>
      </c>
      <c r="V52" s="118">
        <f>IF('basisscholen 2023 overgangsreg.'!V10=0,0,'basisscholen 2023 overgangsreg.'!V49*(1+tab!$B88))</f>
        <v>0</v>
      </c>
      <c r="W52" s="118">
        <f>IF('basisscholen 2023 overgangsreg.'!W10=0,0,'basisscholen 2023 overgangsreg.'!W49*(1+tab!$B88))</f>
        <v>0</v>
      </c>
      <c r="X52" s="118">
        <f>IF('basisscholen 2023 overgangsreg.'!X10=0,0,'basisscholen 2023 overgangsreg.'!X49*(1+tab!$B88))</f>
        <v>0</v>
      </c>
      <c r="Y52" s="118">
        <f>IF('basisscholen 2023 overgangsreg.'!Y10=0,0,'basisscholen 2023 overgangsreg.'!Y49*(1+tab!$B88))</f>
        <v>0</v>
      </c>
      <c r="Z52" s="118">
        <f>IF('basisscholen 2023 overgangsreg.'!Z10=0,0,'basisscholen 2023 overgangsreg.'!Z49*(1+tab!$B88))</f>
        <v>0</v>
      </c>
      <c r="AA52" s="12"/>
      <c r="AC52" s="7"/>
      <c r="AD52" s="7"/>
      <c r="AE52" s="7"/>
      <c r="AF52" s="7"/>
      <c r="AG52" s="7"/>
      <c r="AH52" s="7"/>
      <c r="AI52" s="7"/>
      <c r="AJ52" s="7"/>
    </row>
    <row r="53" spans="2:36" x14ac:dyDescent="0.2">
      <c r="B53" s="139" t="s">
        <v>207</v>
      </c>
      <c r="C53" s="92" t="s">
        <v>44</v>
      </c>
      <c r="E53" s="49"/>
      <c r="G53" s="91">
        <f>tab!$B82</f>
        <v>0.5</v>
      </c>
      <c r="H53" s="91">
        <f>tab!$B82</f>
        <v>0.5</v>
      </c>
      <c r="I53" s="91">
        <f>tab!$B82</f>
        <v>0.5</v>
      </c>
      <c r="J53" s="91">
        <f>tab!$B82</f>
        <v>0.5</v>
      </c>
      <c r="K53" s="91">
        <f>tab!$B82</f>
        <v>0.5</v>
      </c>
      <c r="L53" s="91">
        <f>tab!$B82</f>
        <v>0.5</v>
      </c>
      <c r="M53" s="91">
        <f>tab!$B82</f>
        <v>0.5</v>
      </c>
      <c r="N53" s="91">
        <f>tab!$B82</f>
        <v>0.5</v>
      </c>
      <c r="O53" s="91">
        <f>tab!$B82</f>
        <v>0.5</v>
      </c>
      <c r="P53" s="91">
        <f>tab!$B82</f>
        <v>0.5</v>
      </c>
      <c r="Q53" s="91">
        <f>tab!$B82</f>
        <v>0.5</v>
      </c>
      <c r="R53" s="91">
        <f>tab!$B82</f>
        <v>0.5</v>
      </c>
      <c r="S53" s="91">
        <f>tab!$B82</f>
        <v>0.5</v>
      </c>
      <c r="T53" s="91">
        <f>tab!$B82</f>
        <v>0.5</v>
      </c>
      <c r="U53" s="91">
        <f>tab!$B82</f>
        <v>0.5</v>
      </c>
      <c r="V53" s="91">
        <f>tab!$B82</f>
        <v>0.5</v>
      </c>
      <c r="W53" s="91">
        <f>tab!$B82</f>
        <v>0.5</v>
      </c>
      <c r="X53" s="91">
        <f>tab!$B82</f>
        <v>0.5</v>
      </c>
      <c r="Y53" s="91">
        <f>tab!$B82</f>
        <v>0.5</v>
      </c>
      <c r="Z53" s="91">
        <f>tab!$B82</f>
        <v>0.5</v>
      </c>
      <c r="AA53" s="12"/>
      <c r="AC53" s="28"/>
    </row>
    <row r="54" spans="2:36" x14ac:dyDescent="0.2">
      <c r="B54" s="102"/>
      <c r="C54" s="92"/>
      <c r="E54" s="39"/>
      <c r="G54" s="38"/>
      <c r="H54" s="38"/>
      <c r="I54" s="38"/>
      <c r="J54" s="38"/>
      <c r="K54" s="38"/>
      <c r="L54" s="38"/>
      <c r="M54" s="38"/>
      <c r="N54" s="38"/>
      <c r="O54" s="38"/>
      <c r="P54" s="38"/>
      <c r="Q54" s="38"/>
      <c r="R54" s="38"/>
      <c r="S54" s="38"/>
      <c r="T54" s="38"/>
      <c r="U54" s="38"/>
      <c r="V54" s="38"/>
      <c r="W54" s="38"/>
      <c r="X54" s="38"/>
      <c r="Y54" s="38"/>
      <c r="Z54" s="38"/>
      <c r="AA54" s="12"/>
      <c r="AC54" s="28"/>
    </row>
    <row r="55" spans="2:36" x14ac:dyDescent="0.2">
      <c r="B55" s="102"/>
      <c r="C55" s="92" t="s">
        <v>209</v>
      </c>
      <c r="E55" s="50"/>
      <c r="G55" s="85">
        <f>(G52-G51)*G10</f>
        <v>0</v>
      </c>
      <c r="H55" s="85">
        <f t="shared" ref="H55:Z55" si="14">(H52-H51)*H10</f>
        <v>0</v>
      </c>
      <c r="I55" s="85">
        <f t="shared" si="14"/>
        <v>0</v>
      </c>
      <c r="J55" s="85">
        <f t="shared" si="14"/>
        <v>0</v>
      </c>
      <c r="K55" s="85">
        <f t="shared" si="14"/>
        <v>0</v>
      </c>
      <c r="L55" s="85">
        <f t="shared" si="14"/>
        <v>0</v>
      </c>
      <c r="M55" s="85">
        <f t="shared" si="14"/>
        <v>0</v>
      </c>
      <c r="N55" s="85">
        <f t="shared" si="14"/>
        <v>0</v>
      </c>
      <c r="O55" s="85">
        <f t="shared" si="14"/>
        <v>0</v>
      </c>
      <c r="P55" s="85">
        <f t="shared" si="14"/>
        <v>0</v>
      </c>
      <c r="Q55" s="85">
        <f t="shared" si="14"/>
        <v>0</v>
      </c>
      <c r="R55" s="85">
        <f t="shared" si="14"/>
        <v>0</v>
      </c>
      <c r="S55" s="85">
        <f t="shared" si="14"/>
        <v>0</v>
      </c>
      <c r="T55" s="85">
        <f t="shared" si="14"/>
        <v>0</v>
      </c>
      <c r="U55" s="85">
        <f t="shared" si="14"/>
        <v>0</v>
      </c>
      <c r="V55" s="85">
        <f t="shared" si="14"/>
        <v>0</v>
      </c>
      <c r="W55" s="85">
        <f t="shared" si="14"/>
        <v>0</v>
      </c>
      <c r="X55" s="85">
        <f t="shared" si="14"/>
        <v>0</v>
      </c>
      <c r="Y55" s="85">
        <f t="shared" si="14"/>
        <v>0</v>
      </c>
      <c r="Z55" s="85">
        <f t="shared" si="14"/>
        <v>0</v>
      </c>
      <c r="AA55" s="12"/>
      <c r="AC55" s="28"/>
    </row>
    <row r="56" spans="2:36" x14ac:dyDescent="0.2">
      <c r="B56" s="102"/>
      <c r="C56" s="92" t="s">
        <v>210</v>
      </c>
      <c r="E56" s="51"/>
      <c r="G56" s="85">
        <f>(G52-G51)*G53*G10</f>
        <v>0</v>
      </c>
      <c r="H56" s="85">
        <f t="shared" ref="H56:Z56" si="15">(H52-H51)*H53*H10</f>
        <v>0</v>
      </c>
      <c r="I56" s="85">
        <f t="shared" si="15"/>
        <v>0</v>
      </c>
      <c r="J56" s="85">
        <f t="shared" si="15"/>
        <v>0</v>
      </c>
      <c r="K56" s="85">
        <f t="shared" si="15"/>
        <v>0</v>
      </c>
      <c r="L56" s="85">
        <f t="shared" si="15"/>
        <v>0</v>
      </c>
      <c r="M56" s="85">
        <f t="shared" si="15"/>
        <v>0</v>
      </c>
      <c r="N56" s="85">
        <f t="shared" si="15"/>
        <v>0</v>
      </c>
      <c r="O56" s="85">
        <f t="shared" si="15"/>
        <v>0</v>
      </c>
      <c r="P56" s="85">
        <f t="shared" si="15"/>
        <v>0</v>
      </c>
      <c r="Q56" s="85">
        <f t="shared" si="15"/>
        <v>0</v>
      </c>
      <c r="R56" s="85">
        <f t="shared" si="15"/>
        <v>0</v>
      </c>
      <c r="S56" s="85">
        <f t="shared" si="15"/>
        <v>0</v>
      </c>
      <c r="T56" s="85">
        <f t="shared" si="15"/>
        <v>0</v>
      </c>
      <c r="U56" s="85">
        <f t="shared" si="15"/>
        <v>0</v>
      </c>
      <c r="V56" s="85">
        <f t="shared" si="15"/>
        <v>0</v>
      </c>
      <c r="W56" s="85">
        <f t="shared" si="15"/>
        <v>0</v>
      </c>
      <c r="X56" s="85">
        <f t="shared" si="15"/>
        <v>0</v>
      </c>
      <c r="Y56" s="85">
        <f t="shared" si="15"/>
        <v>0</v>
      </c>
      <c r="Z56" s="85">
        <f t="shared" si="15"/>
        <v>0</v>
      </c>
      <c r="AA56" s="12"/>
      <c r="AC56" s="28"/>
    </row>
    <row r="57" spans="2:36" hidden="1" x14ac:dyDescent="0.2">
      <c r="B57" s="102"/>
      <c r="C57" s="132" t="s">
        <v>45</v>
      </c>
      <c r="E57" s="51"/>
      <c r="G57" s="86">
        <f>(((G51*G10)+G56)-(G52*G10))</f>
        <v>0</v>
      </c>
      <c r="H57" s="86">
        <f t="shared" ref="H57:Z57" si="16">(((H51*H10)+H56)-(H52*H10))</f>
        <v>0</v>
      </c>
      <c r="I57" s="86">
        <f t="shared" si="16"/>
        <v>0</v>
      </c>
      <c r="J57" s="86">
        <f t="shared" si="16"/>
        <v>0</v>
      </c>
      <c r="K57" s="86">
        <f t="shared" si="16"/>
        <v>0</v>
      </c>
      <c r="L57" s="86">
        <f t="shared" si="16"/>
        <v>0</v>
      </c>
      <c r="M57" s="86">
        <f t="shared" si="16"/>
        <v>0</v>
      </c>
      <c r="N57" s="86">
        <f t="shared" si="16"/>
        <v>0</v>
      </c>
      <c r="O57" s="86">
        <f t="shared" si="16"/>
        <v>0</v>
      </c>
      <c r="P57" s="86">
        <f t="shared" si="16"/>
        <v>0</v>
      </c>
      <c r="Q57" s="86">
        <f t="shared" si="16"/>
        <v>0</v>
      </c>
      <c r="R57" s="86">
        <f t="shared" si="16"/>
        <v>0</v>
      </c>
      <c r="S57" s="86">
        <f t="shared" si="16"/>
        <v>0</v>
      </c>
      <c r="T57" s="86">
        <f t="shared" si="16"/>
        <v>0</v>
      </c>
      <c r="U57" s="86">
        <f t="shared" si="16"/>
        <v>0</v>
      </c>
      <c r="V57" s="86">
        <f t="shared" si="16"/>
        <v>0</v>
      </c>
      <c r="W57" s="86">
        <f t="shared" si="16"/>
        <v>0</v>
      </c>
      <c r="X57" s="86">
        <f t="shared" si="16"/>
        <v>0</v>
      </c>
      <c r="Y57" s="86">
        <f t="shared" si="16"/>
        <v>0</v>
      </c>
      <c r="Z57" s="86">
        <f t="shared" si="16"/>
        <v>0</v>
      </c>
      <c r="AA57" s="12"/>
      <c r="AC57" s="29"/>
    </row>
    <row r="58" spans="2:36" hidden="1" x14ac:dyDescent="0.2">
      <c r="B58" s="102"/>
      <c r="C58" s="132" t="s">
        <v>46</v>
      </c>
      <c r="E58" s="52"/>
      <c r="G58" s="143">
        <f>tab!$B83</f>
        <v>-0.02</v>
      </c>
      <c r="H58" s="143">
        <f>tab!$B83</f>
        <v>-0.02</v>
      </c>
      <c r="I58" s="143">
        <f>tab!$B83</f>
        <v>-0.02</v>
      </c>
      <c r="J58" s="143">
        <f>tab!$B83</f>
        <v>-0.02</v>
      </c>
      <c r="K58" s="143">
        <f>tab!$B83</f>
        <v>-0.02</v>
      </c>
      <c r="L58" s="143">
        <f>tab!$B83</f>
        <v>-0.02</v>
      </c>
      <c r="M58" s="143">
        <f>tab!$B83</f>
        <v>-0.02</v>
      </c>
      <c r="N58" s="143">
        <f>tab!$B83</f>
        <v>-0.02</v>
      </c>
      <c r="O58" s="143">
        <f>tab!$B83</f>
        <v>-0.02</v>
      </c>
      <c r="P58" s="143">
        <f>tab!$B83</f>
        <v>-0.02</v>
      </c>
      <c r="Q58" s="143">
        <f>tab!$B83</f>
        <v>-0.02</v>
      </c>
      <c r="R58" s="143">
        <f>tab!$B83</f>
        <v>-0.02</v>
      </c>
      <c r="S58" s="143">
        <f>tab!$B83</f>
        <v>-0.02</v>
      </c>
      <c r="T58" s="143">
        <f>tab!$B83</f>
        <v>-0.02</v>
      </c>
      <c r="U58" s="143">
        <f>tab!$B83</f>
        <v>-0.02</v>
      </c>
      <c r="V58" s="143">
        <f>tab!$B83</f>
        <v>-0.02</v>
      </c>
      <c r="W58" s="143">
        <f>tab!$B83</f>
        <v>-0.02</v>
      </c>
      <c r="X58" s="143">
        <f>tab!$B83</f>
        <v>-0.02</v>
      </c>
      <c r="Y58" s="143">
        <f>tab!$B83</f>
        <v>-0.02</v>
      </c>
      <c r="Z58" s="143">
        <f>tab!$B83</f>
        <v>-0.02</v>
      </c>
      <c r="AA58" s="12"/>
      <c r="AC58" s="2"/>
    </row>
    <row r="59" spans="2:36" hidden="1" x14ac:dyDescent="0.2">
      <c r="B59" s="102"/>
      <c r="C59" s="132" t="s">
        <v>47</v>
      </c>
      <c r="E59" s="53"/>
      <c r="G59" s="86">
        <f>(G52*G10)*G58</f>
        <v>0</v>
      </c>
      <c r="H59" s="86">
        <f t="shared" ref="H59:Z59" si="17">(H52*H10)*H58</f>
        <v>0</v>
      </c>
      <c r="I59" s="86">
        <f t="shared" si="17"/>
        <v>0</v>
      </c>
      <c r="J59" s="86">
        <f t="shared" si="17"/>
        <v>0</v>
      </c>
      <c r="K59" s="86">
        <f t="shared" si="17"/>
        <v>0</v>
      </c>
      <c r="L59" s="86">
        <f t="shared" si="17"/>
        <v>0</v>
      </c>
      <c r="M59" s="86">
        <f t="shared" si="17"/>
        <v>0</v>
      </c>
      <c r="N59" s="86">
        <f t="shared" si="17"/>
        <v>0</v>
      </c>
      <c r="O59" s="86">
        <f t="shared" si="17"/>
        <v>0</v>
      </c>
      <c r="P59" s="86">
        <f t="shared" si="17"/>
        <v>0</v>
      </c>
      <c r="Q59" s="86">
        <f t="shared" si="17"/>
        <v>0</v>
      </c>
      <c r="R59" s="86">
        <f t="shared" si="17"/>
        <v>0</v>
      </c>
      <c r="S59" s="86">
        <f t="shared" si="17"/>
        <v>0</v>
      </c>
      <c r="T59" s="86">
        <f t="shared" si="17"/>
        <v>0</v>
      </c>
      <c r="U59" s="86">
        <f t="shared" si="17"/>
        <v>0</v>
      </c>
      <c r="V59" s="86">
        <f t="shared" si="17"/>
        <v>0</v>
      </c>
      <c r="W59" s="86">
        <f t="shared" si="17"/>
        <v>0</v>
      </c>
      <c r="X59" s="86">
        <f t="shared" si="17"/>
        <v>0</v>
      </c>
      <c r="Y59" s="86">
        <f t="shared" si="17"/>
        <v>0</v>
      </c>
      <c r="Z59" s="86">
        <f t="shared" si="17"/>
        <v>0</v>
      </c>
      <c r="AA59" s="12"/>
      <c r="AC59" s="2"/>
    </row>
    <row r="60" spans="2:36" hidden="1" x14ac:dyDescent="0.2">
      <c r="B60" s="102"/>
      <c r="C60" s="133" t="s">
        <v>48</v>
      </c>
      <c r="E60" s="39"/>
      <c r="G60" s="88">
        <f>IF(G57&gt;G59,0,((G57-G59)*-1))</f>
        <v>0</v>
      </c>
      <c r="H60" s="88">
        <f t="shared" ref="H60:Z60" si="18">IF(H57&gt;H59,0,((H57-H59)*-1))</f>
        <v>0</v>
      </c>
      <c r="I60" s="88">
        <f t="shared" si="18"/>
        <v>0</v>
      </c>
      <c r="J60" s="88">
        <f t="shared" si="18"/>
        <v>0</v>
      </c>
      <c r="K60" s="88">
        <f t="shared" si="18"/>
        <v>0</v>
      </c>
      <c r="L60" s="88">
        <f t="shared" si="18"/>
        <v>0</v>
      </c>
      <c r="M60" s="88">
        <f t="shared" si="18"/>
        <v>0</v>
      </c>
      <c r="N60" s="88">
        <f t="shared" si="18"/>
        <v>0</v>
      </c>
      <c r="O60" s="88">
        <f t="shared" si="18"/>
        <v>0</v>
      </c>
      <c r="P60" s="88">
        <f t="shared" si="18"/>
        <v>0</v>
      </c>
      <c r="Q60" s="88">
        <f t="shared" si="18"/>
        <v>0</v>
      </c>
      <c r="R60" s="88">
        <f t="shared" si="18"/>
        <v>0</v>
      </c>
      <c r="S60" s="88">
        <f t="shared" si="18"/>
        <v>0</v>
      </c>
      <c r="T60" s="88">
        <f t="shared" si="18"/>
        <v>0</v>
      </c>
      <c r="U60" s="88">
        <f t="shared" si="18"/>
        <v>0</v>
      </c>
      <c r="V60" s="88">
        <f t="shared" si="18"/>
        <v>0</v>
      </c>
      <c r="W60" s="88">
        <f t="shared" si="18"/>
        <v>0</v>
      </c>
      <c r="X60" s="88">
        <f t="shared" si="18"/>
        <v>0</v>
      </c>
      <c r="Y60" s="88">
        <f t="shared" si="18"/>
        <v>0</v>
      </c>
      <c r="Z60" s="88">
        <f t="shared" si="18"/>
        <v>0</v>
      </c>
      <c r="AA60" s="12"/>
      <c r="AC60" s="2"/>
    </row>
    <row r="61" spans="2:36" hidden="1" x14ac:dyDescent="0.2">
      <c r="B61" s="102"/>
      <c r="C61" s="132" t="s">
        <v>49</v>
      </c>
      <c r="E61" s="39"/>
      <c r="G61" s="143">
        <f>tab!$B84</f>
        <v>0.02</v>
      </c>
      <c r="H61" s="143">
        <f>tab!$B84</f>
        <v>0.02</v>
      </c>
      <c r="I61" s="143">
        <f>tab!$B84</f>
        <v>0.02</v>
      </c>
      <c r="J61" s="143">
        <f>tab!$B84</f>
        <v>0.02</v>
      </c>
      <c r="K61" s="143">
        <f>tab!$B84</f>
        <v>0.02</v>
      </c>
      <c r="L61" s="143">
        <f>tab!$B84</f>
        <v>0.02</v>
      </c>
      <c r="M61" s="143">
        <f>tab!$B84</f>
        <v>0.02</v>
      </c>
      <c r="N61" s="143">
        <f>tab!$B84</f>
        <v>0.02</v>
      </c>
      <c r="O61" s="143">
        <f>tab!$B84</f>
        <v>0.02</v>
      </c>
      <c r="P61" s="143">
        <f>tab!$B84</f>
        <v>0.02</v>
      </c>
      <c r="Q61" s="143">
        <f>tab!$B84</f>
        <v>0.02</v>
      </c>
      <c r="R61" s="143">
        <f>tab!$B84</f>
        <v>0.02</v>
      </c>
      <c r="S61" s="143">
        <f>tab!$B84</f>
        <v>0.02</v>
      </c>
      <c r="T61" s="143">
        <f>tab!$B84</f>
        <v>0.02</v>
      </c>
      <c r="U61" s="143">
        <f>tab!$B84</f>
        <v>0.02</v>
      </c>
      <c r="V61" s="143">
        <f>tab!$B84</f>
        <v>0.02</v>
      </c>
      <c r="W61" s="143">
        <f>tab!$B84</f>
        <v>0.02</v>
      </c>
      <c r="X61" s="143">
        <f>tab!$B84</f>
        <v>0.02</v>
      </c>
      <c r="Y61" s="143">
        <f>tab!$B84</f>
        <v>0.02</v>
      </c>
      <c r="Z61" s="143">
        <f>tab!$B84</f>
        <v>0.02</v>
      </c>
      <c r="AA61" s="12"/>
    </row>
    <row r="62" spans="2:36" hidden="1" x14ac:dyDescent="0.2">
      <c r="B62" s="102"/>
      <c r="C62" s="132" t="s">
        <v>50</v>
      </c>
      <c r="D62" s="27"/>
      <c r="E62" s="54"/>
      <c r="F62" s="27"/>
      <c r="G62" s="86">
        <f>(G52*G10)*G61</f>
        <v>0</v>
      </c>
      <c r="H62" s="86">
        <f t="shared" ref="H62:Z62" si="19">(H52*H10)*H61</f>
        <v>0</v>
      </c>
      <c r="I62" s="86">
        <f t="shared" si="19"/>
        <v>0</v>
      </c>
      <c r="J62" s="86">
        <f t="shared" si="19"/>
        <v>0</v>
      </c>
      <c r="K62" s="86">
        <f t="shared" si="19"/>
        <v>0</v>
      </c>
      <c r="L62" s="86">
        <f t="shared" si="19"/>
        <v>0</v>
      </c>
      <c r="M62" s="86">
        <f t="shared" si="19"/>
        <v>0</v>
      </c>
      <c r="N62" s="86">
        <f t="shared" si="19"/>
        <v>0</v>
      </c>
      <c r="O62" s="86">
        <f t="shared" si="19"/>
        <v>0</v>
      </c>
      <c r="P62" s="86">
        <f t="shared" si="19"/>
        <v>0</v>
      </c>
      <c r="Q62" s="86">
        <f t="shared" si="19"/>
        <v>0</v>
      </c>
      <c r="R62" s="86">
        <f t="shared" si="19"/>
        <v>0</v>
      </c>
      <c r="S62" s="86">
        <f t="shared" si="19"/>
        <v>0</v>
      </c>
      <c r="T62" s="86">
        <f t="shared" si="19"/>
        <v>0</v>
      </c>
      <c r="U62" s="86">
        <f t="shared" si="19"/>
        <v>0</v>
      </c>
      <c r="V62" s="86">
        <f t="shared" si="19"/>
        <v>0</v>
      </c>
      <c r="W62" s="86">
        <f t="shared" si="19"/>
        <v>0</v>
      </c>
      <c r="X62" s="86">
        <f t="shared" si="19"/>
        <v>0</v>
      </c>
      <c r="Y62" s="86">
        <f t="shared" si="19"/>
        <v>0</v>
      </c>
      <c r="Z62" s="86">
        <f t="shared" si="19"/>
        <v>0</v>
      </c>
      <c r="AA62" s="12"/>
    </row>
    <row r="63" spans="2:36" hidden="1" x14ac:dyDescent="0.2">
      <c r="B63" s="102"/>
      <c r="C63" s="133" t="s">
        <v>51</v>
      </c>
      <c r="D63" s="27"/>
      <c r="E63" s="55"/>
      <c r="F63" s="27"/>
      <c r="G63" s="88">
        <f>IF(G57&lt;G62,0,(G62-G57)*1)</f>
        <v>0</v>
      </c>
      <c r="H63" s="88">
        <f t="shared" ref="H63:Z63" si="20">IF(H57&lt;H62,0,(H62-H57)*1)</f>
        <v>0</v>
      </c>
      <c r="I63" s="88">
        <f t="shared" si="20"/>
        <v>0</v>
      </c>
      <c r="J63" s="88">
        <f t="shared" si="20"/>
        <v>0</v>
      </c>
      <c r="K63" s="88">
        <f t="shared" si="20"/>
        <v>0</v>
      </c>
      <c r="L63" s="88">
        <f t="shared" si="20"/>
        <v>0</v>
      </c>
      <c r="M63" s="88">
        <f t="shared" si="20"/>
        <v>0</v>
      </c>
      <c r="N63" s="88">
        <f t="shared" si="20"/>
        <v>0</v>
      </c>
      <c r="O63" s="88">
        <f t="shared" si="20"/>
        <v>0</v>
      </c>
      <c r="P63" s="88">
        <f t="shared" si="20"/>
        <v>0</v>
      </c>
      <c r="Q63" s="88">
        <f t="shared" si="20"/>
        <v>0</v>
      </c>
      <c r="R63" s="88">
        <f t="shared" si="20"/>
        <v>0</v>
      </c>
      <c r="S63" s="88">
        <f t="shared" si="20"/>
        <v>0</v>
      </c>
      <c r="T63" s="88">
        <f t="shared" si="20"/>
        <v>0</v>
      </c>
      <c r="U63" s="88">
        <f t="shared" si="20"/>
        <v>0</v>
      </c>
      <c r="V63" s="88">
        <f t="shared" si="20"/>
        <v>0</v>
      </c>
      <c r="W63" s="88">
        <f t="shared" si="20"/>
        <v>0</v>
      </c>
      <c r="X63" s="88">
        <f t="shared" si="20"/>
        <v>0</v>
      </c>
      <c r="Y63" s="88">
        <f t="shared" si="20"/>
        <v>0</v>
      </c>
      <c r="Z63" s="88">
        <f t="shared" si="20"/>
        <v>0</v>
      </c>
      <c r="AA63" s="12"/>
    </row>
    <row r="64" spans="2:36" s="7" customFormat="1" x14ac:dyDescent="0.2">
      <c r="B64" s="129"/>
      <c r="C64" s="92" t="s">
        <v>52</v>
      </c>
      <c r="D64" s="27"/>
      <c r="E64" s="54"/>
      <c r="F64" s="27"/>
      <c r="G64" s="85">
        <f>IF(G63=0,G60,G63)</f>
        <v>0</v>
      </c>
      <c r="H64" s="85">
        <f t="shared" ref="H64:Z64" si="21">IF(H63=0,H60,H63)</f>
        <v>0</v>
      </c>
      <c r="I64" s="85">
        <f t="shared" si="21"/>
        <v>0</v>
      </c>
      <c r="J64" s="85">
        <f t="shared" si="21"/>
        <v>0</v>
      </c>
      <c r="K64" s="85">
        <f t="shared" si="21"/>
        <v>0</v>
      </c>
      <c r="L64" s="85">
        <f t="shared" si="21"/>
        <v>0</v>
      </c>
      <c r="M64" s="85">
        <f t="shared" si="21"/>
        <v>0</v>
      </c>
      <c r="N64" s="85">
        <f t="shared" si="21"/>
        <v>0</v>
      </c>
      <c r="O64" s="85">
        <f t="shared" si="21"/>
        <v>0</v>
      </c>
      <c r="P64" s="85">
        <f t="shared" si="21"/>
        <v>0</v>
      </c>
      <c r="Q64" s="85">
        <f t="shared" si="21"/>
        <v>0</v>
      </c>
      <c r="R64" s="85">
        <f t="shared" si="21"/>
        <v>0</v>
      </c>
      <c r="S64" s="85">
        <f t="shared" si="21"/>
        <v>0</v>
      </c>
      <c r="T64" s="85">
        <f t="shared" si="21"/>
        <v>0</v>
      </c>
      <c r="U64" s="85">
        <f t="shared" si="21"/>
        <v>0</v>
      </c>
      <c r="V64" s="85">
        <f t="shared" si="21"/>
        <v>0</v>
      </c>
      <c r="W64" s="85">
        <f t="shared" si="21"/>
        <v>0</v>
      </c>
      <c r="X64" s="85">
        <f t="shared" si="21"/>
        <v>0</v>
      </c>
      <c r="Y64" s="85">
        <f t="shared" si="21"/>
        <v>0</v>
      </c>
      <c r="Z64" s="85">
        <f t="shared" si="21"/>
        <v>0</v>
      </c>
      <c r="AA64" s="30"/>
      <c r="AC64" s="31"/>
    </row>
    <row r="65" spans="2:29" x14ac:dyDescent="0.2">
      <c r="B65" s="102"/>
      <c r="C65" s="92" t="s">
        <v>201</v>
      </c>
      <c r="D65" s="124"/>
      <c r="E65" s="127">
        <f>SUM(G65:Z65)</f>
        <v>0</v>
      </c>
      <c r="F65" s="3"/>
      <c r="G65" s="59">
        <f>G56+G64</f>
        <v>0</v>
      </c>
      <c r="H65" s="59">
        <f t="shared" ref="H65:Z65" si="22">H56+H64</f>
        <v>0</v>
      </c>
      <c r="I65" s="59">
        <f t="shared" si="22"/>
        <v>0</v>
      </c>
      <c r="J65" s="59">
        <f t="shared" si="22"/>
        <v>0</v>
      </c>
      <c r="K65" s="59">
        <f t="shared" si="22"/>
        <v>0</v>
      </c>
      <c r="L65" s="59">
        <f t="shared" si="22"/>
        <v>0</v>
      </c>
      <c r="M65" s="59">
        <f t="shared" si="22"/>
        <v>0</v>
      </c>
      <c r="N65" s="59">
        <f t="shared" si="22"/>
        <v>0</v>
      </c>
      <c r="O65" s="59">
        <f t="shared" si="22"/>
        <v>0</v>
      </c>
      <c r="P65" s="59">
        <f t="shared" si="22"/>
        <v>0</v>
      </c>
      <c r="Q65" s="59">
        <f t="shared" si="22"/>
        <v>0</v>
      </c>
      <c r="R65" s="59">
        <f t="shared" si="22"/>
        <v>0</v>
      </c>
      <c r="S65" s="59">
        <f t="shared" si="22"/>
        <v>0</v>
      </c>
      <c r="T65" s="59">
        <f t="shared" si="22"/>
        <v>0</v>
      </c>
      <c r="U65" s="59">
        <f t="shared" si="22"/>
        <v>0</v>
      </c>
      <c r="V65" s="59">
        <f t="shared" si="22"/>
        <v>0</v>
      </c>
      <c r="W65" s="59">
        <f t="shared" si="22"/>
        <v>0</v>
      </c>
      <c r="X65" s="59">
        <f t="shared" si="22"/>
        <v>0</v>
      </c>
      <c r="Y65" s="59">
        <f t="shared" si="22"/>
        <v>0</v>
      </c>
      <c r="Z65" s="59">
        <f t="shared" si="22"/>
        <v>0</v>
      </c>
      <c r="AA65" s="12"/>
      <c r="AC65" s="2"/>
    </row>
    <row r="66" spans="2:29" x14ac:dyDescent="0.2">
      <c r="B66" s="102"/>
      <c r="E66" s="39"/>
      <c r="G66" s="38"/>
      <c r="H66" s="38"/>
      <c r="I66" s="38"/>
      <c r="J66" s="38"/>
      <c r="K66" s="38"/>
      <c r="L66" s="38"/>
      <c r="M66" s="38"/>
      <c r="N66" s="38"/>
      <c r="O66" s="38"/>
      <c r="P66" s="38"/>
      <c r="Q66" s="38"/>
      <c r="R66" s="38"/>
      <c r="S66" s="38"/>
      <c r="T66" s="38"/>
      <c r="U66" s="38"/>
      <c r="V66" s="38"/>
      <c r="W66" s="38"/>
      <c r="X66" s="38"/>
      <c r="Y66" s="38"/>
      <c r="Z66" s="38"/>
      <c r="AA66" s="12"/>
    </row>
    <row r="67" spans="2:29" x14ac:dyDescent="0.2">
      <c r="B67" s="102"/>
      <c r="C67" s="3" t="s">
        <v>53</v>
      </c>
      <c r="E67" s="140">
        <f>SUM(G67:Z67)</f>
        <v>0</v>
      </c>
      <c r="G67" s="140">
        <f>G47+G65</f>
        <v>0</v>
      </c>
      <c r="H67" s="140">
        <f t="shared" ref="H67:Z67" si="23">H47+H65</f>
        <v>0</v>
      </c>
      <c r="I67" s="140">
        <f t="shared" si="23"/>
        <v>0</v>
      </c>
      <c r="J67" s="140">
        <f t="shared" si="23"/>
        <v>0</v>
      </c>
      <c r="K67" s="140">
        <f t="shared" si="23"/>
        <v>0</v>
      </c>
      <c r="L67" s="140">
        <f t="shared" si="23"/>
        <v>0</v>
      </c>
      <c r="M67" s="140">
        <f t="shared" si="23"/>
        <v>0</v>
      </c>
      <c r="N67" s="140">
        <f t="shared" si="23"/>
        <v>0</v>
      </c>
      <c r="O67" s="140">
        <f t="shared" si="23"/>
        <v>0</v>
      </c>
      <c r="P67" s="140">
        <f t="shared" si="23"/>
        <v>0</v>
      </c>
      <c r="Q67" s="140">
        <f t="shared" si="23"/>
        <v>0</v>
      </c>
      <c r="R67" s="140">
        <f t="shared" si="23"/>
        <v>0</v>
      </c>
      <c r="S67" s="140">
        <f t="shared" si="23"/>
        <v>0</v>
      </c>
      <c r="T67" s="140">
        <f t="shared" si="23"/>
        <v>0</v>
      </c>
      <c r="U67" s="140">
        <f t="shared" si="23"/>
        <v>0</v>
      </c>
      <c r="V67" s="140">
        <f t="shared" si="23"/>
        <v>0</v>
      </c>
      <c r="W67" s="140">
        <f t="shared" si="23"/>
        <v>0</v>
      </c>
      <c r="X67" s="140">
        <f t="shared" si="23"/>
        <v>0</v>
      </c>
      <c r="Y67" s="140">
        <f t="shared" si="23"/>
        <v>0</v>
      </c>
      <c r="Z67" s="140">
        <f t="shared" si="23"/>
        <v>0</v>
      </c>
      <c r="AA67" s="12"/>
    </row>
    <row r="68" spans="2:29" x14ac:dyDescent="0.2">
      <c r="B68" s="108"/>
      <c r="C68" s="109"/>
      <c r="D68" s="109"/>
      <c r="E68" s="134"/>
      <c r="F68" s="109"/>
      <c r="G68" s="109"/>
      <c r="H68" s="109"/>
      <c r="I68" s="109"/>
      <c r="J68" s="109"/>
      <c r="K68" s="109"/>
      <c r="L68" s="109"/>
      <c r="M68" s="109"/>
      <c r="N68" s="109"/>
      <c r="O68" s="109"/>
      <c r="P68" s="109"/>
      <c r="Q68" s="109"/>
      <c r="R68" s="109"/>
      <c r="S68" s="109"/>
      <c r="T68" s="109"/>
      <c r="U68" s="109"/>
      <c r="V68" s="109"/>
      <c r="W68" s="109"/>
      <c r="X68" s="109"/>
      <c r="Y68" s="109"/>
      <c r="Z68" s="109"/>
      <c r="AA68" s="13"/>
    </row>
    <row r="71" spans="2:29" x14ac:dyDescent="0.2">
      <c r="E71" s="57"/>
      <c r="G71" s="32"/>
      <c r="H71" s="32"/>
      <c r="I71" s="32"/>
      <c r="J71" s="32"/>
      <c r="K71" s="32"/>
      <c r="L71" s="32"/>
      <c r="M71" s="32"/>
      <c r="N71" s="32"/>
      <c r="O71" s="32"/>
      <c r="P71" s="32"/>
      <c r="Q71" s="32"/>
      <c r="R71" s="32"/>
      <c r="S71" s="32"/>
      <c r="T71" s="32"/>
      <c r="U71" s="32"/>
      <c r="V71" s="32"/>
      <c r="W71" s="32"/>
      <c r="X71" s="32"/>
      <c r="Y71" s="32"/>
      <c r="Z71" s="32"/>
    </row>
  </sheetData>
  <sheetProtection algorithmName="SHA-512" hashValue="avbTlpHe2pPb8bxzka5Sj+yJqYZtnR2VOZf3+OAUoTAygyaVDJZe4y+oPr2SeQnimehegRa+7Xvisq/Mc3sHBg==" saltValue="X7F+1xDNuC1wZSqi7fCQvQ==" spinCount="100000" sheet="1" objects="1" scenarios="1"/>
  <mergeCells count="1">
    <mergeCell ref="B2:C2"/>
  </mergeCells>
  <pageMargins left="0.23622047244094491" right="0.23622047244094491" top="0.74803149606299213" bottom="0.74803149606299213" header="0.31496062992125984" footer="0.31496062992125984"/>
  <pageSetup paperSize="9" scale="5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73EC7-03F4-42BC-AFD6-FC061A137F94}">
  <dimension ref="B2:I25"/>
  <sheetViews>
    <sheetView zoomScale="80" zoomScaleNormal="80" workbookViewId="0">
      <selection activeCell="E11" sqref="E11"/>
    </sheetView>
  </sheetViews>
  <sheetFormatPr defaultColWidth="8.7109375" defaultRowHeight="12.75" x14ac:dyDescent="0.2"/>
  <cols>
    <col min="1" max="2" width="2.5703125" style="1" customWidth="1"/>
    <col min="3" max="3" width="55.7109375" style="1" customWidth="1"/>
    <col min="4" max="4" width="1.5703125" style="1" customWidth="1"/>
    <col min="5" max="5" width="14.5703125" style="4" customWidth="1"/>
    <col min="6" max="6" width="12.5703125" style="1" customWidth="1"/>
    <col min="7" max="8" width="2.5703125" style="1" customWidth="1"/>
    <col min="9" max="16384" width="8.7109375" style="1"/>
  </cols>
  <sheetData>
    <row r="2" spans="2:9" s="58" customFormat="1" ht="15.75" x14ac:dyDescent="0.25">
      <c r="B2" s="145" t="str">
        <f>_xlfn.CONCAT("GROEIBEKOSTIGING BESTUURSNIVEAU ",tab!B2)</f>
        <v>GROEIBEKOSTIGING BESTUURSNIVEAU 2024</v>
      </c>
      <c r="C2" s="145"/>
      <c r="E2" s="97"/>
      <c r="I2" s="8" t="s">
        <v>183</v>
      </c>
    </row>
    <row r="3" spans="2:9" x14ac:dyDescent="0.2">
      <c r="C3" s="94"/>
    </row>
    <row r="4" spans="2:9" x14ac:dyDescent="0.2">
      <c r="B4" s="98"/>
      <c r="C4" s="99"/>
      <c r="D4" s="100"/>
      <c r="E4" s="101"/>
      <c r="F4" s="100"/>
      <c r="G4" s="11"/>
    </row>
    <row r="5" spans="2:9" ht="15.75" x14ac:dyDescent="0.25">
      <c r="B5" s="102"/>
      <c r="C5" s="3" t="s">
        <v>54</v>
      </c>
      <c r="E5" s="103">
        <f>tab!B2</f>
        <v>2024</v>
      </c>
      <c r="F5" s="58"/>
      <c r="G5" s="12"/>
    </row>
    <row r="6" spans="2:9" x14ac:dyDescent="0.2">
      <c r="B6" s="102"/>
      <c r="C6" s="104"/>
      <c r="D6" s="105"/>
      <c r="E6" s="105"/>
      <c r="F6" s="105"/>
      <c r="G6" s="12"/>
    </row>
    <row r="7" spans="2:9" x14ac:dyDescent="0.2">
      <c r="B7" s="102"/>
      <c r="C7" s="1" t="s">
        <v>185</v>
      </c>
      <c r="E7" s="106">
        <f>'basisscholen 2024'!E10</f>
        <v>0</v>
      </c>
      <c r="G7" s="12"/>
    </row>
    <row r="8" spans="2:9" x14ac:dyDescent="0.2">
      <c r="B8" s="102"/>
      <c r="C8" s="1" t="s">
        <v>55</v>
      </c>
      <c r="E8" s="106">
        <f>E7*104%</f>
        <v>0</v>
      </c>
      <c r="G8" s="12"/>
    </row>
    <row r="9" spans="2:9" x14ac:dyDescent="0.2">
      <c r="B9" s="102"/>
      <c r="G9" s="12"/>
    </row>
    <row r="10" spans="2:9" x14ac:dyDescent="0.2">
      <c r="B10" s="102"/>
      <c r="C10" s="94" t="s">
        <v>56</v>
      </c>
      <c r="G10" s="12"/>
    </row>
    <row r="11" spans="2:9" x14ac:dyDescent="0.2">
      <c r="B11" s="102"/>
      <c r="C11" s="107" t="s">
        <v>57</v>
      </c>
      <c r="E11" s="70"/>
      <c r="F11" s="93">
        <f>IF(E11&lt;$E$8,0,((E11-$E$7)*(tab!$F$20/12)))</f>
        <v>0</v>
      </c>
      <c r="G11" s="12"/>
    </row>
    <row r="12" spans="2:9" x14ac:dyDescent="0.2">
      <c r="B12" s="102"/>
      <c r="C12" s="107" t="s">
        <v>58</v>
      </c>
      <c r="E12" s="71"/>
      <c r="F12" s="93">
        <f>IF(E12&lt;$E$8,0,((E12-$E$7)*(tab!$F$20/12)))</f>
        <v>0</v>
      </c>
      <c r="G12" s="12"/>
    </row>
    <row r="13" spans="2:9" x14ac:dyDescent="0.2">
      <c r="B13" s="102"/>
      <c r="C13" s="107" t="s">
        <v>59</v>
      </c>
      <c r="E13" s="71"/>
      <c r="F13" s="93">
        <f>IF(E13&lt;$E$8,0,((E13-$E$7)*(tab!$F$20/12)))</f>
        <v>0</v>
      </c>
      <c r="G13" s="12"/>
    </row>
    <row r="14" spans="2:9" x14ac:dyDescent="0.2">
      <c r="B14" s="102"/>
      <c r="C14" s="107" t="s">
        <v>60</v>
      </c>
      <c r="E14" s="71"/>
      <c r="F14" s="93">
        <f>IF(E14&lt;$E$8,0,((E14-$E$7)*(tab!$F$20/12)))</f>
        <v>0</v>
      </c>
      <c r="G14" s="12"/>
    </row>
    <row r="15" spans="2:9" x14ac:dyDescent="0.2">
      <c r="B15" s="102"/>
      <c r="C15" s="107" t="s">
        <v>61</v>
      </c>
      <c r="E15" s="71"/>
      <c r="F15" s="93">
        <f>IF(E15&lt;$E$8,0,((E15-$E$7)*(tab!$F$20/12)))</f>
        <v>0</v>
      </c>
      <c r="G15" s="12"/>
    </row>
    <row r="16" spans="2:9" x14ac:dyDescent="0.2">
      <c r="B16" s="102"/>
      <c r="C16" s="107" t="s">
        <v>62</v>
      </c>
      <c r="E16" s="71"/>
      <c r="F16" s="93">
        <f>IF(E16&lt;$E$8,0,((E16-$E$7)*(tab!$F$20/12)))</f>
        <v>0</v>
      </c>
      <c r="G16" s="12"/>
    </row>
    <row r="17" spans="2:7" x14ac:dyDescent="0.2">
      <c r="B17" s="102"/>
      <c r="C17" s="107" t="s">
        <v>63</v>
      </c>
      <c r="E17" s="71"/>
      <c r="F17" s="93">
        <f>IF(E17&lt;$E$8,0,((E17-$E$7)*(tab!$F$20/12)))</f>
        <v>0</v>
      </c>
      <c r="G17" s="12"/>
    </row>
    <row r="18" spans="2:7" x14ac:dyDescent="0.2">
      <c r="B18" s="102"/>
      <c r="C18" s="107" t="s">
        <v>64</v>
      </c>
      <c r="E18" s="71"/>
      <c r="F18" s="93">
        <f>IF(E18&lt;$E$8,0,((E18-$E$7)*(tab!$F$20/12)))</f>
        <v>0</v>
      </c>
      <c r="G18" s="12"/>
    </row>
    <row r="19" spans="2:7" x14ac:dyDescent="0.2">
      <c r="B19" s="102"/>
      <c r="C19" s="107" t="s">
        <v>65</v>
      </c>
      <c r="E19" s="71"/>
      <c r="F19" s="93">
        <f>IF(E19&lt;$E$8,0,((E19-$E$7)*(tab!$F$20/12)))</f>
        <v>0</v>
      </c>
      <c r="G19" s="12"/>
    </row>
    <row r="20" spans="2:7" x14ac:dyDescent="0.2">
      <c r="B20" s="102"/>
      <c r="C20" s="107" t="s">
        <v>66</v>
      </c>
      <c r="E20" s="71"/>
      <c r="F20" s="93">
        <f>IF(E20&lt;$E$8,0,((E20-$E$7)*(tab!$F$20/12)))</f>
        <v>0</v>
      </c>
      <c r="G20" s="12"/>
    </row>
    <row r="21" spans="2:7" x14ac:dyDescent="0.2">
      <c r="B21" s="102"/>
      <c r="C21" s="107" t="s">
        <v>67</v>
      </c>
      <c r="E21" s="71"/>
      <c r="F21" s="93">
        <f>IF(E21&lt;$E$8,0,((E21-$E$7)*(tab!$F$20/12)))</f>
        <v>0</v>
      </c>
      <c r="G21" s="12"/>
    </row>
    <row r="22" spans="2:7" x14ac:dyDescent="0.2">
      <c r="B22" s="102"/>
      <c r="C22" s="107" t="s">
        <v>68</v>
      </c>
      <c r="E22" s="71"/>
      <c r="F22" s="93">
        <f>IF(E22&lt;$E$8,0,((E22-$E$7)*(tab!$F$20/12)))</f>
        <v>0</v>
      </c>
      <c r="G22" s="12"/>
    </row>
    <row r="23" spans="2:7" x14ac:dyDescent="0.2">
      <c r="B23" s="102"/>
      <c r="E23" s="1"/>
      <c r="F23" s="36"/>
      <c r="G23" s="12"/>
    </row>
    <row r="24" spans="2:7" x14ac:dyDescent="0.2">
      <c r="B24" s="102"/>
      <c r="C24" s="3" t="s">
        <v>69</v>
      </c>
      <c r="E24" s="1"/>
      <c r="F24" s="37">
        <f>SUM(F11:F22)</f>
        <v>0</v>
      </c>
      <c r="G24" s="12"/>
    </row>
    <row r="25" spans="2:7" x14ac:dyDescent="0.2">
      <c r="B25" s="108"/>
      <c r="C25" s="109"/>
      <c r="D25" s="109"/>
      <c r="E25" s="110"/>
      <c r="F25" s="111"/>
      <c r="G25" s="13"/>
    </row>
  </sheetData>
  <sheetProtection algorithmName="SHA-512" hashValue="lzMvZVeyesvniQtOTtDAiVhkuIDdIN540kccpW7f2vaUdzrVE5rit67IVrfUKjhUj5BfvEREIKSwzREhbqceeA==" saltValue="7Tj/wBHj5YLR9syZMrzqlQ==" spinCount="100000" sheet="1" objects="1" scenarios="1"/>
  <mergeCells count="1">
    <mergeCell ref="B2:C2"/>
  </mergeCells>
  <pageMargins left="0.70866141732283472" right="0.70866141732283472" top="0.74803149606299213" bottom="0.74803149606299213" header="0.31496062992125984" footer="0.31496062992125984"/>
  <pageSetup paperSize="9" scale="65" orientation="landscape" r:id="rId1"/>
  <colBreaks count="1" manualBreakCount="1">
    <brk id="8" max="1048575"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846BE-6E5A-4C11-964A-89BF616467BC}">
  <dimension ref="A1:V116"/>
  <sheetViews>
    <sheetView zoomScale="85" zoomScaleNormal="85" workbookViewId="0">
      <selection activeCell="W100" sqref="W100"/>
    </sheetView>
  </sheetViews>
  <sheetFormatPr defaultColWidth="8.7109375" defaultRowHeight="12.75" x14ac:dyDescent="0.2"/>
  <cols>
    <col min="1" max="2" width="2.5703125" style="1" customWidth="1"/>
    <col min="3" max="3" width="56.140625" style="1" customWidth="1"/>
    <col min="4" max="4" width="5.140625" style="1" customWidth="1"/>
    <col min="5" max="6" width="14.7109375" style="1" customWidth="1"/>
    <col min="7" max="8" width="2.5703125" style="1" customWidth="1"/>
    <col min="9" max="23" width="8.5703125" style="1" customWidth="1"/>
    <col min="24" max="16384" width="8.7109375" style="1"/>
  </cols>
  <sheetData>
    <row r="1" spans="1:22" x14ac:dyDescent="0.2">
      <c r="A1" s="159"/>
      <c r="B1" s="159"/>
      <c r="C1" s="159"/>
      <c r="D1" s="159"/>
      <c r="E1" s="159"/>
      <c r="F1" s="159"/>
      <c r="G1" s="159"/>
      <c r="H1" s="159"/>
      <c r="I1" s="159"/>
      <c r="J1" s="159"/>
      <c r="K1" s="159"/>
      <c r="L1" s="159"/>
      <c r="M1" s="159"/>
      <c r="N1" s="159"/>
      <c r="O1" s="159"/>
      <c r="P1" s="159"/>
      <c r="Q1" s="159"/>
      <c r="R1" s="159"/>
      <c r="S1" s="159"/>
      <c r="T1" s="159"/>
      <c r="U1" s="159"/>
      <c r="V1" s="159"/>
    </row>
    <row r="2" spans="1:22" ht="15.75" x14ac:dyDescent="0.25">
      <c r="A2" s="159"/>
      <c r="B2" s="160" t="s">
        <v>70</v>
      </c>
      <c r="C2" s="159"/>
      <c r="D2" s="159"/>
      <c r="E2" s="159"/>
      <c r="F2" s="159"/>
      <c r="G2" s="159"/>
      <c r="H2" s="159"/>
      <c r="I2" s="159"/>
      <c r="J2" s="159"/>
      <c r="K2" s="159"/>
      <c r="L2" s="159"/>
      <c r="M2" s="159"/>
      <c r="N2" s="159"/>
      <c r="O2" s="159"/>
      <c r="P2" s="159"/>
      <c r="Q2" s="159"/>
      <c r="R2" s="159"/>
      <c r="S2" s="159"/>
      <c r="T2" s="159"/>
      <c r="U2" s="159"/>
      <c r="V2" s="159"/>
    </row>
    <row r="3" spans="1:22" x14ac:dyDescent="0.2">
      <c r="A3" s="159"/>
      <c r="B3" s="159"/>
      <c r="C3" s="159"/>
      <c r="D3" s="159"/>
      <c r="E3" s="159"/>
      <c r="F3" s="159"/>
      <c r="G3" s="159"/>
      <c r="H3" s="159"/>
      <c r="I3" s="159"/>
      <c r="J3" s="159"/>
      <c r="K3" s="159"/>
      <c r="L3" s="159"/>
      <c r="M3" s="159"/>
      <c r="N3" s="159"/>
      <c r="O3" s="159"/>
      <c r="P3" s="159"/>
      <c r="Q3" s="159"/>
      <c r="R3" s="159"/>
      <c r="S3" s="159"/>
      <c r="T3" s="159"/>
      <c r="U3" s="159"/>
      <c r="V3" s="159"/>
    </row>
    <row r="4" spans="1:22" x14ac:dyDescent="0.2">
      <c r="A4" s="159"/>
      <c r="B4" s="161"/>
      <c r="C4" s="162"/>
      <c r="D4" s="162"/>
      <c r="E4" s="162"/>
      <c r="F4" s="162"/>
      <c r="G4" s="163"/>
      <c r="H4" s="159"/>
      <c r="I4" s="159"/>
      <c r="J4" s="159"/>
      <c r="K4" s="159"/>
      <c r="L4" s="159"/>
      <c r="M4" s="159"/>
      <c r="N4" s="159"/>
      <c r="O4" s="159"/>
      <c r="P4" s="159"/>
      <c r="Q4" s="159"/>
      <c r="R4" s="159"/>
      <c r="S4" s="159"/>
      <c r="T4" s="159"/>
      <c r="U4" s="159"/>
      <c r="V4" s="164"/>
    </row>
    <row r="5" spans="1:22" x14ac:dyDescent="0.2">
      <c r="A5" s="159"/>
      <c r="B5" s="165"/>
      <c r="C5" s="166" t="s">
        <v>71</v>
      </c>
      <c r="D5" s="159"/>
      <c r="E5" s="167">
        <f>tab!B2</f>
        <v>2024</v>
      </c>
      <c r="F5" s="159"/>
      <c r="G5" s="168"/>
      <c r="H5" s="159"/>
      <c r="I5" s="159"/>
      <c r="J5" s="159"/>
      <c r="K5" s="159"/>
      <c r="L5" s="159"/>
      <c r="M5" s="159"/>
      <c r="N5" s="159"/>
      <c r="O5" s="159"/>
      <c r="P5" s="159"/>
      <c r="Q5" s="159"/>
      <c r="R5" s="159"/>
      <c r="S5" s="159"/>
      <c r="T5" s="159"/>
      <c r="U5" s="159"/>
      <c r="V5" s="159"/>
    </row>
    <row r="6" spans="1:22" ht="15" x14ac:dyDescent="0.2">
      <c r="A6" s="159"/>
      <c r="B6" s="165"/>
      <c r="C6" s="159"/>
      <c r="D6" s="159"/>
      <c r="E6" s="159"/>
      <c r="F6" s="159"/>
      <c r="G6" s="168"/>
      <c r="H6" s="159"/>
      <c r="I6" s="159"/>
      <c r="J6" s="159"/>
      <c r="K6" s="159"/>
      <c r="L6" s="159"/>
      <c r="M6" s="159"/>
      <c r="N6" s="159"/>
      <c r="O6" s="159"/>
      <c r="P6" s="159"/>
      <c r="Q6" s="159"/>
      <c r="R6" s="159"/>
      <c r="S6" s="159"/>
      <c r="T6" s="159"/>
      <c r="U6" s="159"/>
      <c r="V6" s="169"/>
    </row>
    <row r="7" spans="1:22" x14ac:dyDescent="0.2">
      <c r="A7" s="159"/>
      <c r="B7" s="165"/>
      <c r="C7" s="159" t="s">
        <v>72</v>
      </c>
      <c r="D7" s="159"/>
      <c r="E7" s="170">
        <v>4</v>
      </c>
      <c r="F7" s="159"/>
      <c r="G7" s="168"/>
      <c r="H7" s="159"/>
      <c r="I7" s="159"/>
      <c r="J7" s="159"/>
      <c r="K7" s="159"/>
      <c r="L7" s="159"/>
      <c r="M7" s="159"/>
      <c r="N7" s="159"/>
      <c r="O7" s="159"/>
      <c r="P7" s="159"/>
      <c r="Q7" s="159"/>
      <c r="R7" s="159"/>
      <c r="S7" s="159"/>
      <c r="T7" s="159"/>
      <c r="U7" s="159"/>
      <c r="V7" s="159"/>
    </row>
    <row r="8" spans="1:22" x14ac:dyDescent="0.2">
      <c r="A8" s="159"/>
      <c r="B8" s="165"/>
      <c r="C8" s="159"/>
      <c r="D8" s="159"/>
      <c r="E8" s="170"/>
      <c r="F8" s="159"/>
      <c r="G8" s="168"/>
      <c r="H8" s="159"/>
      <c r="I8" s="159"/>
      <c r="J8" s="159"/>
      <c r="K8" s="159"/>
      <c r="L8" s="159"/>
      <c r="M8" s="159"/>
      <c r="N8" s="159"/>
      <c r="O8" s="159"/>
      <c r="P8" s="159"/>
      <c r="Q8" s="159"/>
      <c r="R8" s="159"/>
      <c r="S8" s="159"/>
      <c r="T8" s="159"/>
      <c r="U8" s="159"/>
      <c r="V8" s="159"/>
    </row>
    <row r="9" spans="1:22" x14ac:dyDescent="0.2">
      <c r="A9" s="159"/>
      <c r="B9" s="165"/>
      <c r="C9" s="171" t="s">
        <v>73</v>
      </c>
      <c r="D9" s="172"/>
      <c r="E9" s="170"/>
      <c r="F9" s="159"/>
      <c r="G9" s="168"/>
      <c r="H9" s="159"/>
      <c r="I9" s="159"/>
      <c r="J9" s="159"/>
      <c r="K9" s="159"/>
      <c r="L9" s="159"/>
      <c r="M9" s="159"/>
      <c r="N9" s="159"/>
      <c r="O9" s="159"/>
      <c r="P9" s="159"/>
      <c r="Q9" s="159"/>
      <c r="R9" s="159"/>
      <c r="S9" s="159"/>
      <c r="T9" s="159"/>
      <c r="U9" s="159"/>
      <c r="V9" s="159"/>
    </row>
    <row r="10" spans="1:22" x14ac:dyDescent="0.2">
      <c r="A10" s="159"/>
      <c r="B10" s="165"/>
      <c r="C10" s="159" t="s">
        <v>217</v>
      </c>
      <c r="D10" s="172" t="s">
        <v>218</v>
      </c>
      <c r="E10" s="33"/>
      <c r="F10" s="159"/>
      <c r="G10" s="168"/>
      <c r="H10" s="159"/>
      <c r="I10" s="159"/>
      <c r="J10" s="159"/>
      <c r="K10" s="159"/>
      <c r="L10" s="159"/>
      <c r="M10" s="159"/>
      <c r="N10" s="159"/>
      <c r="O10" s="159"/>
      <c r="P10" s="159"/>
      <c r="Q10" s="159"/>
      <c r="R10" s="159"/>
      <c r="S10" s="159"/>
      <c r="T10" s="159"/>
      <c r="U10" s="159"/>
      <c r="V10" s="159"/>
    </row>
    <row r="11" spans="1:22" x14ac:dyDescent="0.2">
      <c r="A11" s="159"/>
      <c r="B11" s="165"/>
      <c r="C11" s="159" t="s">
        <v>219</v>
      </c>
      <c r="D11" s="172"/>
      <c r="E11" s="42"/>
      <c r="F11" s="159"/>
      <c r="G11" s="168"/>
      <c r="H11" s="159"/>
      <c r="I11" s="159"/>
      <c r="J11" s="159"/>
      <c r="K11" s="159"/>
      <c r="L11" s="159"/>
      <c r="M11" s="159"/>
      <c r="N11" s="159"/>
      <c r="O11" s="159"/>
      <c r="P11" s="159"/>
      <c r="Q11" s="159"/>
      <c r="R11" s="159"/>
      <c r="S11" s="159"/>
      <c r="T11" s="159"/>
      <c r="U11" s="159"/>
      <c r="V11" s="159"/>
    </row>
    <row r="12" spans="1:22" x14ac:dyDescent="0.2">
      <c r="A12" s="159"/>
      <c r="B12" s="165"/>
      <c r="C12" s="173"/>
      <c r="D12" s="172"/>
      <c r="E12" s="172">
        <f>E10+E11</f>
        <v>0</v>
      </c>
      <c r="F12" s="159"/>
      <c r="G12" s="168"/>
      <c r="H12" s="159"/>
      <c r="I12" s="159"/>
      <c r="J12" s="159"/>
      <c r="K12" s="159"/>
      <c r="L12" s="159"/>
      <c r="M12" s="159"/>
      <c r="N12" s="159"/>
      <c r="O12" s="159"/>
      <c r="P12" s="159"/>
      <c r="Q12" s="159"/>
      <c r="R12" s="159"/>
      <c r="S12" s="159"/>
      <c r="T12" s="159"/>
      <c r="U12" s="159"/>
      <c r="V12" s="159"/>
    </row>
    <row r="13" spans="1:22" x14ac:dyDescent="0.2">
      <c r="A13" s="159"/>
      <c r="B13" s="165"/>
      <c r="C13" s="174"/>
      <c r="D13" s="172"/>
      <c r="E13" s="172"/>
      <c r="F13" s="159"/>
      <c r="G13" s="168"/>
      <c r="H13" s="159"/>
      <c r="I13" s="159"/>
      <c r="J13" s="159"/>
      <c r="K13" s="159"/>
      <c r="L13" s="159"/>
      <c r="M13" s="159"/>
      <c r="N13" s="159"/>
      <c r="O13" s="159"/>
      <c r="P13" s="159"/>
      <c r="Q13" s="159"/>
      <c r="R13" s="159"/>
      <c r="S13" s="159"/>
      <c r="T13" s="159"/>
      <c r="U13" s="159"/>
      <c r="V13" s="159"/>
    </row>
    <row r="14" spans="1:22" x14ac:dyDescent="0.2">
      <c r="A14" s="159"/>
      <c r="B14" s="165"/>
      <c r="C14" s="175" t="s">
        <v>74</v>
      </c>
      <c r="D14" s="172" t="s">
        <v>220</v>
      </c>
      <c r="E14" s="33"/>
      <c r="F14" s="176"/>
      <c r="G14" s="168"/>
      <c r="H14" s="159"/>
      <c r="I14" s="159"/>
      <c r="J14" s="159"/>
      <c r="K14" s="159"/>
      <c r="L14" s="159"/>
      <c r="M14" s="159"/>
      <c r="N14" s="159"/>
      <c r="O14" s="159"/>
      <c r="P14" s="159"/>
      <c r="Q14" s="159"/>
      <c r="R14" s="159"/>
      <c r="S14" s="159"/>
      <c r="T14" s="159"/>
      <c r="U14" s="159"/>
      <c r="V14" s="159"/>
    </row>
    <row r="15" spans="1:22" x14ac:dyDescent="0.2">
      <c r="A15" s="159"/>
      <c r="B15" s="165"/>
      <c r="C15" s="175" t="s">
        <v>75</v>
      </c>
      <c r="D15" s="172" t="s">
        <v>221</v>
      </c>
      <c r="E15" s="33"/>
      <c r="F15" s="176"/>
      <c r="G15" s="168"/>
      <c r="H15" s="159"/>
      <c r="I15" s="159"/>
      <c r="J15" s="159"/>
      <c r="K15" s="159"/>
      <c r="L15" s="159"/>
      <c r="M15" s="159"/>
      <c r="N15" s="159"/>
      <c r="O15" s="159"/>
      <c r="P15" s="159"/>
      <c r="Q15" s="159"/>
      <c r="R15" s="159"/>
      <c r="S15" s="159"/>
      <c r="T15" s="159"/>
      <c r="U15" s="159"/>
      <c r="V15" s="159"/>
    </row>
    <row r="16" spans="1:22" x14ac:dyDescent="0.2">
      <c r="A16" s="159"/>
      <c r="B16" s="165"/>
      <c r="C16" s="159"/>
      <c r="D16" s="172"/>
      <c r="E16" s="172">
        <f>E14+E15</f>
        <v>0</v>
      </c>
      <c r="F16" s="177">
        <f>SUM(F14:F15)</f>
        <v>0</v>
      </c>
      <c r="G16" s="168"/>
      <c r="H16" s="159"/>
      <c r="I16" s="159"/>
      <c r="J16" s="159"/>
      <c r="K16" s="159"/>
      <c r="L16" s="159"/>
      <c r="M16" s="159"/>
      <c r="N16" s="159"/>
      <c r="O16" s="159"/>
      <c r="P16" s="159"/>
      <c r="Q16" s="159"/>
      <c r="R16" s="159"/>
      <c r="S16" s="159"/>
      <c r="T16" s="159"/>
      <c r="U16" s="159"/>
      <c r="V16" s="159"/>
    </row>
    <row r="17" spans="1:22" x14ac:dyDescent="0.2">
      <c r="A17" s="159"/>
      <c r="B17" s="165"/>
      <c r="C17" s="159"/>
      <c r="D17" s="172"/>
      <c r="E17" s="172"/>
      <c r="F17" s="177"/>
      <c r="G17" s="168"/>
      <c r="H17" s="159"/>
      <c r="I17" s="159"/>
      <c r="J17" s="159"/>
      <c r="K17" s="159"/>
      <c r="L17" s="159"/>
      <c r="M17" s="159"/>
      <c r="N17" s="159"/>
      <c r="O17" s="159"/>
      <c r="P17" s="159"/>
      <c r="Q17" s="159"/>
      <c r="R17" s="159"/>
      <c r="S17" s="159"/>
      <c r="T17" s="159"/>
      <c r="U17" s="159"/>
      <c r="V17" s="159"/>
    </row>
    <row r="18" spans="1:22" x14ac:dyDescent="0.2">
      <c r="A18" s="159"/>
      <c r="B18" s="165"/>
      <c r="C18" s="159" t="s">
        <v>222</v>
      </c>
      <c r="D18" s="172"/>
      <c r="E18" s="170"/>
      <c r="F18" s="178">
        <f>IF(E14&gt;=E10,((E14-E10)*tab!B24*0.25)+((E10+E15)*tab!B25*0.25),0)</f>
        <v>0</v>
      </c>
      <c r="G18" s="168"/>
      <c r="H18" s="159"/>
      <c r="I18" s="159"/>
      <c r="J18" s="159"/>
      <c r="K18" s="159"/>
      <c r="L18" s="159"/>
      <c r="M18" s="159"/>
      <c r="N18" s="159"/>
      <c r="O18" s="159"/>
      <c r="P18" s="159"/>
      <c r="Q18" s="159"/>
      <c r="R18" s="159"/>
      <c r="S18" s="159"/>
      <c r="T18" s="159"/>
      <c r="U18" s="159"/>
      <c r="V18" s="159"/>
    </row>
    <row r="19" spans="1:22" x14ac:dyDescent="0.2">
      <c r="A19" s="159"/>
      <c r="B19" s="165"/>
      <c r="C19" s="159" t="s">
        <v>223</v>
      </c>
      <c r="D19" s="172"/>
      <c r="E19" s="170"/>
      <c r="F19" s="178">
        <f>IF(E14&lt;E10,((E14+E15)*tab!B25*0.25),0)</f>
        <v>0</v>
      </c>
      <c r="G19" s="168"/>
      <c r="H19" s="159"/>
      <c r="I19" s="159"/>
      <c r="J19" s="159"/>
      <c r="K19" s="159"/>
      <c r="L19" s="159"/>
      <c r="M19" s="159"/>
      <c r="N19" s="159"/>
      <c r="O19" s="159"/>
      <c r="P19" s="159"/>
      <c r="Q19" s="159"/>
      <c r="R19" s="159"/>
      <c r="S19" s="159"/>
      <c r="T19" s="159"/>
      <c r="U19" s="159"/>
      <c r="V19" s="159"/>
    </row>
    <row r="20" spans="1:22" x14ac:dyDescent="0.2">
      <c r="A20" s="159"/>
      <c r="B20" s="165"/>
      <c r="C20" s="159"/>
      <c r="D20" s="172"/>
      <c r="E20" s="172"/>
      <c r="F20" s="179">
        <f>SUM(F18:F19)</f>
        <v>0</v>
      </c>
      <c r="G20" s="168"/>
      <c r="H20" s="159"/>
      <c r="I20" s="159"/>
      <c r="J20" s="159"/>
      <c r="K20" s="159"/>
      <c r="L20" s="159"/>
      <c r="M20" s="159"/>
      <c r="N20" s="159"/>
      <c r="O20" s="159"/>
      <c r="P20" s="159"/>
      <c r="Q20" s="159"/>
      <c r="R20" s="159"/>
      <c r="S20" s="159"/>
      <c r="T20" s="159"/>
      <c r="U20" s="159"/>
      <c r="V20" s="159"/>
    </row>
    <row r="21" spans="1:22" x14ac:dyDescent="0.2">
      <c r="A21" s="159"/>
      <c r="B21" s="165"/>
      <c r="C21" s="180" t="s">
        <v>76</v>
      </c>
      <c r="D21" s="159"/>
      <c r="E21" s="159"/>
      <c r="F21" s="181"/>
      <c r="G21" s="168"/>
      <c r="H21" s="159"/>
      <c r="I21" s="159"/>
      <c r="J21" s="159"/>
      <c r="K21" s="159"/>
      <c r="L21" s="159"/>
      <c r="M21" s="159"/>
      <c r="N21" s="159"/>
      <c r="O21" s="159"/>
      <c r="P21" s="159"/>
      <c r="Q21" s="159"/>
      <c r="R21" s="159"/>
      <c r="S21" s="159"/>
      <c r="T21" s="159"/>
      <c r="U21" s="159"/>
      <c r="V21" s="159"/>
    </row>
    <row r="22" spans="1:22" x14ac:dyDescent="0.2">
      <c r="A22" s="159"/>
      <c r="B22" s="165"/>
      <c r="C22" s="175" t="s">
        <v>77</v>
      </c>
      <c r="D22" s="159"/>
      <c r="E22" s="33"/>
      <c r="F22" s="93">
        <f>IF(E24&gt;=$E$7,E22*((tab!$B$24)*3/12),0)</f>
        <v>0</v>
      </c>
      <c r="G22" s="168"/>
      <c r="H22" s="159"/>
      <c r="I22" s="159"/>
      <c r="J22" s="159"/>
      <c r="K22" s="159"/>
      <c r="L22" s="159"/>
      <c r="M22" s="159"/>
      <c r="N22" s="159"/>
      <c r="O22" s="159"/>
      <c r="P22" s="159"/>
      <c r="Q22" s="159"/>
      <c r="R22" s="159"/>
      <c r="S22" s="159"/>
      <c r="T22" s="159"/>
      <c r="U22" s="159"/>
      <c r="V22" s="159"/>
    </row>
    <row r="23" spans="1:22" x14ac:dyDescent="0.2">
      <c r="A23" s="159"/>
      <c r="B23" s="165"/>
      <c r="C23" s="175" t="s">
        <v>78</v>
      </c>
      <c r="D23" s="159"/>
      <c r="E23" s="33"/>
      <c r="F23" s="181">
        <f>IF(E24&gt;=$E$7,((E23*tab!$B$25)*3/12),0)</f>
        <v>0</v>
      </c>
      <c r="G23" s="168"/>
      <c r="H23" s="159"/>
      <c r="I23" s="159"/>
      <c r="J23" s="159"/>
      <c r="K23" s="159"/>
      <c r="L23" s="159"/>
      <c r="M23" s="159"/>
      <c r="N23" s="159"/>
      <c r="O23" s="159"/>
      <c r="P23" s="159"/>
      <c r="Q23" s="159"/>
      <c r="R23" s="159"/>
      <c r="S23" s="159"/>
      <c r="T23" s="159"/>
      <c r="U23" s="159"/>
      <c r="V23" s="159"/>
    </row>
    <row r="24" spans="1:22" x14ac:dyDescent="0.2">
      <c r="A24" s="159"/>
      <c r="B24" s="165"/>
      <c r="C24" s="182"/>
      <c r="D24" s="159"/>
      <c r="E24" s="172">
        <f>E22+E23</f>
        <v>0</v>
      </c>
      <c r="F24" s="183">
        <f>SUM(F22:F23)</f>
        <v>0</v>
      </c>
      <c r="G24" s="168"/>
      <c r="H24" s="159"/>
      <c r="I24" s="159"/>
      <c r="J24" s="159"/>
      <c r="K24" s="159"/>
      <c r="L24" s="159"/>
      <c r="M24" s="159"/>
      <c r="N24" s="159"/>
      <c r="O24" s="159"/>
      <c r="P24" s="159"/>
      <c r="Q24" s="159"/>
      <c r="R24" s="159"/>
      <c r="S24" s="159"/>
      <c r="T24" s="159"/>
      <c r="U24" s="159"/>
      <c r="V24" s="159"/>
    </row>
    <row r="25" spans="1:22" x14ac:dyDescent="0.2">
      <c r="A25" s="159"/>
      <c r="B25" s="165"/>
      <c r="C25" s="180" t="s">
        <v>79</v>
      </c>
      <c r="D25" s="159"/>
      <c r="E25" s="159"/>
      <c r="F25" s="181"/>
      <c r="G25" s="168"/>
      <c r="H25" s="159"/>
      <c r="I25" s="159"/>
      <c r="J25" s="159"/>
      <c r="K25" s="159"/>
      <c r="L25" s="159"/>
      <c r="M25" s="159"/>
      <c r="N25" s="159"/>
      <c r="O25" s="159"/>
      <c r="P25" s="159"/>
      <c r="Q25" s="159"/>
      <c r="R25" s="159"/>
      <c r="S25" s="159"/>
      <c r="T25" s="159"/>
      <c r="U25" s="159"/>
      <c r="V25" s="159"/>
    </row>
    <row r="26" spans="1:22" x14ac:dyDescent="0.2">
      <c r="A26" s="159"/>
      <c r="B26" s="165"/>
      <c r="C26" s="175" t="s">
        <v>80</v>
      </c>
      <c r="D26" s="159"/>
      <c r="E26" s="33"/>
      <c r="F26" s="93">
        <f>IF(E28&gt;=$E$7,E26*((tab!$B$24)*3/12),0)</f>
        <v>0</v>
      </c>
      <c r="G26" s="168"/>
      <c r="H26" s="159"/>
      <c r="I26" s="159"/>
      <c r="J26" s="159"/>
      <c r="K26" s="159"/>
      <c r="L26" s="159"/>
      <c r="M26" s="159"/>
      <c r="N26" s="159"/>
      <c r="O26" s="159"/>
      <c r="P26" s="159"/>
      <c r="Q26" s="159"/>
      <c r="R26" s="159"/>
      <c r="S26" s="159"/>
      <c r="T26" s="159"/>
      <c r="U26" s="159"/>
      <c r="V26" s="159"/>
    </row>
    <row r="27" spans="1:22" x14ac:dyDescent="0.2">
      <c r="A27" s="159"/>
      <c r="B27" s="165"/>
      <c r="C27" s="175" t="s">
        <v>81</v>
      </c>
      <c r="D27" s="159"/>
      <c r="E27" s="33"/>
      <c r="F27" s="181">
        <f>IF(E28&gt;=$E$7,((E27*tab!$B$25)*3/12),0)</f>
        <v>0</v>
      </c>
      <c r="G27" s="168"/>
      <c r="H27" s="159"/>
      <c r="I27" s="159"/>
      <c r="J27" s="159"/>
      <c r="K27" s="159"/>
      <c r="L27" s="159"/>
      <c r="M27" s="159"/>
      <c r="N27" s="159"/>
      <c r="O27" s="159"/>
      <c r="P27" s="159"/>
      <c r="Q27" s="159"/>
      <c r="R27" s="159"/>
      <c r="S27" s="159"/>
      <c r="T27" s="159"/>
      <c r="U27" s="159"/>
      <c r="V27" s="159"/>
    </row>
    <row r="28" spans="1:22" x14ac:dyDescent="0.2">
      <c r="A28" s="159"/>
      <c r="B28" s="165"/>
      <c r="C28" s="182"/>
      <c r="D28" s="159"/>
      <c r="E28" s="172">
        <f>E26+E27</f>
        <v>0</v>
      </c>
      <c r="F28" s="183">
        <f>SUM(F26:F27)</f>
        <v>0</v>
      </c>
      <c r="G28" s="168"/>
      <c r="H28" s="159"/>
      <c r="I28" s="159"/>
      <c r="J28" s="159"/>
      <c r="K28" s="159"/>
      <c r="L28" s="159"/>
      <c r="M28" s="159"/>
      <c r="N28" s="159"/>
      <c r="O28" s="159"/>
      <c r="P28" s="159"/>
      <c r="Q28" s="159"/>
      <c r="R28" s="159"/>
      <c r="S28" s="159"/>
      <c r="T28" s="159"/>
      <c r="U28" s="159"/>
      <c r="V28" s="159"/>
    </row>
    <row r="29" spans="1:22" x14ac:dyDescent="0.2">
      <c r="A29" s="159"/>
      <c r="B29" s="165"/>
      <c r="C29" s="180" t="s">
        <v>82</v>
      </c>
      <c r="D29" s="159"/>
      <c r="E29" s="159"/>
      <c r="F29" s="181"/>
      <c r="G29" s="168"/>
      <c r="H29" s="159"/>
      <c r="I29" s="159"/>
      <c r="J29" s="159"/>
      <c r="K29" s="159"/>
      <c r="L29" s="159"/>
      <c r="M29" s="159"/>
      <c r="N29" s="159"/>
      <c r="O29" s="159"/>
      <c r="P29" s="159"/>
      <c r="Q29" s="159"/>
      <c r="R29" s="159"/>
      <c r="S29" s="159"/>
      <c r="T29" s="159"/>
      <c r="U29" s="159"/>
      <c r="V29" s="159"/>
    </row>
    <row r="30" spans="1:22" x14ac:dyDescent="0.2">
      <c r="A30" s="159"/>
      <c r="B30" s="165"/>
      <c r="C30" s="175" t="s">
        <v>83</v>
      </c>
      <c r="D30" s="159"/>
      <c r="E30" s="33"/>
      <c r="F30" s="93">
        <f>IF(E32&gt;=$E$7,E30*((tab!$B$24)*3/12),0)</f>
        <v>0</v>
      </c>
      <c r="G30" s="168"/>
      <c r="H30" s="159"/>
      <c r="I30" s="159"/>
      <c r="J30" s="159"/>
      <c r="K30" s="159"/>
      <c r="L30" s="159"/>
      <c r="M30" s="159"/>
      <c r="N30" s="159"/>
      <c r="O30" s="159"/>
      <c r="P30" s="159"/>
      <c r="Q30" s="159"/>
      <c r="R30" s="159"/>
      <c r="S30" s="159"/>
      <c r="T30" s="159"/>
      <c r="U30" s="159"/>
      <c r="V30" s="159"/>
    </row>
    <row r="31" spans="1:22" x14ac:dyDescent="0.2">
      <c r="A31" s="159"/>
      <c r="B31" s="165"/>
      <c r="C31" s="175" t="s">
        <v>84</v>
      </c>
      <c r="D31" s="159"/>
      <c r="E31" s="33"/>
      <c r="F31" s="181">
        <f>IF(E32&gt;=$E$7,((E31*tab!$B$25)*3/12),0)</f>
        <v>0</v>
      </c>
      <c r="G31" s="168"/>
      <c r="H31" s="159"/>
      <c r="I31" s="159"/>
      <c r="J31" s="159"/>
      <c r="K31" s="159"/>
      <c r="L31" s="159"/>
      <c r="M31" s="159"/>
      <c r="N31" s="159"/>
      <c r="O31" s="159"/>
      <c r="P31" s="159"/>
      <c r="Q31" s="159"/>
      <c r="R31" s="159"/>
      <c r="S31" s="159"/>
      <c r="T31" s="159"/>
      <c r="U31" s="159"/>
      <c r="V31" s="159"/>
    </row>
    <row r="32" spans="1:22" x14ac:dyDescent="0.2">
      <c r="A32" s="159"/>
      <c r="B32" s="165"/>
      <c r="C32" s="184"/>
      <c r="D32" s="159"/>
      <c r="E32" s="172">
        <f>E30+E31</f>
        <v>0</v>
      </c>
      <c r="F32" s="183">
        <f>SUM(F30:F31)</f>
        <v>0</v>
      </c>
      <c r="G32" s="168"/>
      <c r="H32" s="159"/>
      <c r="I32" s="159"/>
      <c r="J32" s="159"/>
      <c r="K32" s="159"/>
      <c r="L32" s="159"/>
      <c r="M32" s="159"/>
      <c r="N32" s="159"/>
      <c r="O32" s="159"/>
      <c r="P32" s="159"/>
      <c r="Q32" s="159"/>
      <c r="R32" s="159"/>
      <c r="S32" s="159"/>
      <c r="T32" s="159"/>
      <c r="U32" s="159"/>
      <c r="V32" s="159"/>
    </row>
    <row r="33" spans="1:22" x14ac:dyDescent="0.2">
      <c r="A33" s="159"/>
      <c r="B33" s="165"/>
      <c r="C33" s="159"/>
      <c r="D33" s="159"/>
      <c r="E33" s="159"/>
      <c r="F33" s="181"/>
      <c r="G33" s="168"/>
      <c r="H33" s="159"/>
      <c r="I33" s="159"/>
      <c r="J33" s="159"/>
      <c r="K33" s="159"/>
      <c r="L33" s="159"/>
      <c r="M33" s="159"/>
      <c r="N33" s="159"/>
      <c r="O33" s="159"/>
      <c r="P33" s="159"/>
      <c r="Q33" s="159"/>
      <c r="R33" s="159"/>
      <c r="S33" s="159"/>
      <c r="T33" s="159"/>
      <c r="U33" s="159"/>
      <c r="V33" s="164"/>
    </row>
    <row r="34" spans="1:22" x14ac:dyDescent="0.2">
      <c r="A34" s="159"/>
      <c r="B34" s="165"/>
      <c r="C34" s="159" t="s">
        <v>85</v>
      </c>
      <c r="D34" s="159"/>
      <c r="E34" s="33" t="s">
        <v>211</v>
      </c>
      <c r="F34" s="95">
        <f>IF(E34="nee",0,tab!$B$26)</f>
        <v>0</v>
      </c>
      <c r="G34" s="168"/>
      <c r="H34" s="159"/>
      <c r="I34" s="159"/>
      <c r="J34" s="159"/>
      <c r="K34" s="159"/>
      <c r="L34" s="159"/>
      <c r="M34" s="159"/>
      <c r="N34" s="159"/>
      <c r="O34" s="159"/>
      <c r="P34" s="159"/>
      <c r="Q34" s="159"/>
      <c r="R34" s="159"/>
      <c r="S34" s="159"/>
      <c r="T34" s="159"/>
      <c r="U34" s="159"/>
      <c r="V34" s="159"/>
    </row>
    <row r="35" spans="1:22" x14ac:dyDescent="0.2">
      <c r="A35" s="159"/>
      <c r="B35" s="165"/>
      <c r="C35" s="159"/>
      <c r="D35" s="159"/>
      <c r="E35" s="159"/>
      <c r="F35" s="181"/>
      <c r="G35" s="168"/>
      <c r="H35" s="159"/>
      <c r="I35" s="159"/>
      <c r="J35" s="159"/>
      <c r="K35" s="159"/>
      <c r="L35" s="159"/>
      <c r="M35" s="159"/>
      <c r="N35" s="159"/>
      <c r="O35" s="159"/>
      <c r="P35" s="159"/>
      <c r="Q35" s="159"/>
      <c r="R35" s="159"/>
      <c r="S35" s="159"/>
      <c r="T35" s="159"/>
      <c r="U35" s="159"/>
      <c r="V35" s="159"/>
    </row>
    <row r="36" spans="1:22" x14ac:dyDescent="0.2">
      <c r="A36" s="159"/>
      <c r="B36" s="165"/>
      <c r="C36" s="174" t="s">
        <v>87</v>
      </c>
      <c r="D36" s="159"/>
      <c r="E36" s="159"/>
      <c r="F36" s="183">
        <f>F15+F24+F28+F32+F34</f>
        <v>0</v>
      </c>
      <c r="G36" s="168"/>
      <c r="H36" s="159"/>
      <c r="I36" s="159"/>
      <c r="J36" s="159"/>
      <c r="K36" s="159"/>
      <c r="L36" s="159"/>
      <c r="M36" s="159"/>
      <c r="N36" s="159"/>
      <c r="O36" s="159"/>
      <c r="P36" s="159"/>
      <c r="Q36" s="159"/>
      <c r="R36" s="159"/>
      <c r="S36" s="159"/>
      <c r="T36" s="159"/>
      <c r="U36" s="159"/>
      <c r="V36" s="159"/>
    </row>
    <row r="37" spans="1:22" x14ac:dyDescent="0.2">
      <c r="A37" s="159"/>
      <c r="B37" s="185"/>
      <c r="C37" s="186"/>
      <c r="D37" s="186"/>
      <c r="E37" s="186"/>
      <c r="F37" s="187"/>
      <c r="G37" s="188"/>
      <c r="H37" s="159"/>
      <c r="I37" s="159"/>
      <c r="J37" s="159"/>
      <c r="K37" s="159"/>
      <c r="L37" s="159"/>
      <c r="M37" s="159"/>
      <c r="N37" s="159"/>
      <c r="O37" s="159"/>
      <c r="P37" s="159"/>
      <c r="Q37" s="159"/>
      <c r="R37" s="159"/>
      <c r="S37" s="159"/>
      <c r="T37" s="159"/>
      <c r="U37" s="159"/>
      <c r="V37" s="159"/>
    </row>
    <row r="38" spans="1:22" x14ac:dyDescent="0.2">
      <c r="A38" s="159"/>
      <c r="B38" s="159"/>
      <c r="C38" s="159"/>
      <c r="D38" s="159"/>
      <c r="E38" s="159"/>
      <c r="F38" s="181"/>
      <c r="G38" s="159"/>
      <c r="H38" s="159"/>
      <c r="I38" s="159"/>
      <c r="J38" s="159"/>
      <c r="K38" s="159"/>
      <c r="L38" s="159"/>
      <c r="M38" s="159"/>
      <c r="N38" s="159"/>
      <c r="O38" s="159"/>
      <c r="P38" s="159"/>
      <c r="Q38" s="159"/>
      <c r="R38" s="159"/>
      <c r="S38" s="159"/>
      <c r="T38" s="159"/>
      <c r="U38" s="159"/>
      <c r="V38" s="159"/>
    </row>
    <row r="39" spans="1:22" x14ac:dyDescent="0.2">
      <c r="A39" s="159"/>
      <c r="B39" s="161"/>
      <c r="C39" s="162"/>
      <c r="D39" s="162"/>
      <c r="E39" s="162"/>
      <c r="F39" s="189"/>
      <c r="G39" s="163"/>
      <c r="H39" s="159"/>
      <c r="I39" s="159"/>
      <c r="J39" s="159"/>
      <c r="K39" s="159"/>
      <c r="L39" s="159"/>
      <c r="M39" s="159"/>
      <c r="N39" s="159"/>
      <c r="O39" s="159"/>
      <c r="P39" s="159"/>
      <c r="Q39" s="159"/>
      <c r="R39" s="159"/>
      <c r="S39" s="159"/>
      <c r="T39" s="159"/>
      <c r="U39" s="159"/>
      <c r="V39" s="159"/>
    </row>
    <row r="40" spans="1:22" x14ac:dyDescent="0.2">
      <c r="A40" s="159"/>
      <c r="B40" s="165"/>
      <c r="C40" s="166" t="s">
        <v>88</v>
      </c>
      <c r="D40" s="159"/>
      <c r="E40" s="167">
        <f>tab!B2</f>
        <v>2024</v>
      </c>
      <c r="F40" s="181"/>
      <c r="G40" s="168"/>
      <c r="H40" s="159"/>
      <c r="I40" s="159"/>
      <c r="J40" s="159"/>
      <c r="K40" s="159"/>
      <c r="L40" s="159"/>
      <c r="M40" s="159"/>
      <c r="N40" s="159"/>
      <c r="O40" s="159"/>
      <c r="P40" s="159"/>
      <c r="Q40" s="159"/>
      <c r="R40" s="159"/>
      <c r="S40" s="159"/>
      <c r="T40" s="159"/>
      <c r="U40" s="159"/>
      <c r="V40" s="159"/>
    </row>
    <row r="41" spans="1:22" x14ac:dyDescent="0.2">
      <c r="A41" s="159"/>
      <c r="B41" s="165"/>
      <c r="C41" s="159"/>
      <c r="D41" s="159"/>
      <c r="E41" s="159"/>
      <c r="F41" s="181"/>
      <c r="G41" s="168"/>
      <c r="H41" s="159"/>
      <c r="I41" s="159"/>
      <c r="J41" s="159"/>
      <c r="K41" s="159"/>
      <c r="L41" s="159"/>
      <c r="M41" s="159"/>
      <c r="N41" s="159"/>
      <c r="O41" s="159"/>
      <c r="P41" s="159"/>
      <c r="Q41" s="159"/>
      <c r="R41" s="159"/>
      <c r="S41" s="159"/>
      <c r="T41" s="159"/>
      <c r="U41" s="159"/>
      <c r="V41" s="159"/>
    </row>
    <row r="42" spans="1:22" x14ac:dyDescent="0.2">
      <c r="A42" s="159"/>
      <c r="B42" s="165"/>
      <c r="C42" s="159" t="s">
        <v>89</v>
      </c>
      <c r="D42" s="159"/>
      <c r="E42" s="33"/>
      <c r="F42" s="93">
        <f>(E42*tab!$B$27)*3/12</f>
        <v>0</v>
      </c>
      <c r="G42" s="168"/>
      <c r="H42" s="159"/>
      <c r="I42" s="159"/>
      <c r="J42" s="159"/>
      <c r="K42" s="159"/>
      <c r="L42" s="159"/>
      <c r="M42" s="159"/>
      <c r="N42" s="159"/>
      <c r="O42" s="159"/>
      <c r="P42" s="159"/>
      <c r="Q42" s="159"/>
      <c r="R42" s="159"/>
      <c r="S42" s="159"/>
      <c r="T42" s="159"/>
      <c r="U42" s="159"/>
      <c r="V42" s="164"/>
    </row>
    <row r="43" spans="1:22" x14ac:dyDescent="0.2">
      <c r="A43" s="159"/>
      <c r="B43" s="165"/>
      <c r="C43" s="159" t="s">
        <v>90</v>
      </c>
      <c r="D43" s="159"/>
      <c r="E43" s="33"/>
      <c r="F43" s="93">
        <f>(E43*tab!$B$27)*3/12</f>
        <v>0</v>
      </c>
      <c r="G43" s="168"/>
      <c r="H43" s="159"/>
      <c r="I43" s="159"/>
      <c r="J43" s="159"/>
      <c r="K43" s="159"/>
      <c r="L43" s="159"/>
      <c r="M43" s="159"/>
      <c r="N43" s="159"/>
      <c r="O43" s="159"/>
      <c r="P43" s="159"/>
      <c r="Q43" s="159"/>
      <c r="R43" s="159"/>
      <c r="S43" s="159"/>
      <c r="T43" s="159"/>
      <c r="U43" s="159"/>
      <c r="V43" s="159"/>
    </row>
    <row r="44" spans="1:22" x14ac:dyDescent="0.2">
      <c r="A44" s="159"/>
      <c r="B44" s="165"/>
      <c r="C44" s="159" t="s">
        <v>91</v>
      </c>
      <c r="D44" s="159"/>
      <c r="E44" s="33"/>
      <c r="F44" s="93">
        <f>(E44*tab!$B$27)*3/12</f>
        <v>0</v>
      </c>
      <c r="G44" s="168"/>
      <c r="H44" s="159"/>
      <c r="I44" s="159"/>
      <c r="J44" s="159"/>
      <c r="K44" s="159"/>
      <c r="L44" s="159"/>
      <c r="M44" s="159"/>
      <c r="N44" s="159"/>
      <c r="O44" s="159"/>
      <c r="P44" s="159"/>
      <c r="Q44" s="159"/>
      <c r="R44" s="159"/>
      <c r="S44" s="159"/>
      <c r="T44" s="159"/>
      <c r="U44" s="159"/>
      <c r="V44" s="159"/>
    </row>
    <row r="45" spans="1:22" x14ac:dyDescent="0.2">
      <c r="A45" s="159"/>
      <c r="B45" s="165"/>
      <c r="C45" s="159" t="s">
        <v>92</v>
      </c>
      <c r="D45" s="159"/>
      <c r="E45" s="33"/>
      <c r="F45" s="93">
        <f>(E45*tab!$B$27)*3/12</f>
        <v>0</v>
      </c>
      <c r="G45" s="168"/>
      <c r="H45" s="159"/>
      <c r="I45" s="159"/>
      <c r="J45" s="159"/>
      <c r="K45" s="159"/>
      <c r="L45" s="159"/>
      <c r="M45" s="159"/>
      <c r="N45" s="159"/>
      <c r="O45" s="159"/>
      <c r="P45" s="159"/>
      <c r="Q45" s="159"/>
      <c r="R45" s="159"/>
      <c r="S45" s="159"/>
      <c r="T45" s="159"/>
      <c r="U45" s="159"/>
      <c r="V45" s="159"/>
    </row>
    <row r="46" spans="1:22" x14ac:dyDescent="0.2">
      <c r="A46" s="159"/>
      <c r="B46" s="165"/>
      <c r="C46" s="174" t="s">
        <v>87</v>
      </c>
      <c r="D46" s="159"/>
      <c r="E46" s="159"/>
      <c r="F46" s="183">
        <f>SUM(F42:F45)</f>
        <v>0</v>
      </c>
      <c r="G46" s="168"/>
      <c r="H46" s="159"/>
      <c r="I46" s="159"/>
      <c r="J46" s="159"/>
      <c r="K46" s="159"/>
      <c r="L46" s="159"/>
      <c r="M46" s="159"/>
      <c r="N46" s="159"/>
      <c r="O46" s="159"/>
      <c r="P46" s="159"/>
      <c r="Q46" s="159"/>
      <c r="R46" s="159"/>
      <c r="S46" s="159"/>
      <c r="T46" s="159"/>
      <c r="U46" s="159"/>
      <c r="V46" s="159"/>
    </row>
    <row r="47" spans="1:22" x14ac:dyDescent="0.2">
      <c r="A47" s="159"/>
      <c r="B47" s="185"/>
      <c r="C47" s="187"/>
      <c r="D47" s="187"/>
      <c r="E47" s="187"/>
      <c r="F47" s="190"/>
      <c r="G47" s="188"/>
      <c r="H47" s="159"/>
      <c r="I47" s="159"/>
      <c r="J47" s="159"/>
      <c r="K47" s="159"/>
      <c r="L47" s="159"/>
      <c r="M47" s="159"/>
      <c r="N47" s="159"/>
      <c r="O47" s="159"/>
      <c r="P47" s="159"/>
      <c r="Q47" s="159"/>
      <c r="R47" s="159"/>
      <c r="S47" s="159"/>
      <c r="T47" s="159"/>
      <c r="U47" s="159"/>
      <c r="V47" s="159"/>
    </row>
    <row r="48" spans="1:22" x14ac:dyDescent="0.2">
      <c r="A48" s="159"/>
      <c r="B48" s="159"/>
      <c r="C48" s="159"/>
      <c r="D48" s="159"/>
      <c r="E48" s="159"/>
      <c r="F48" s="181"/>
      <c r="G48" s="159"/>
      <c r="H48" s="159"/>
      <c r="I48" s="159"/>
      <c r="J48" s="159"/>
      <c r="K48" s="159"/>
      <c r="L48" s="159"/>
      <c r="M48" s="159"/>
      <c r="N48" s="159"/>
      <c r="O48" s="159"/>
      <c r="P48" s="159"/>
      <c r="Q48" s="159"/>
      <c r="R48" s="159"/>
      <c r="S48" s="159"/>
      <c r="T48" s="159"/>
      <c r="U48" s="159"/>
      <c r="V48" s="159"/>
    </row>
    <row r="49" spans="1:22" x14ac:dyDescent="0.2">
      <c r="A49" s="159"/>
      <c r="B49" s="161"/>
      <c r="C49" s="162"/>
      <c r="D49" s="162"/>
      <c r="E49" s="162"/>
      <c r="F49" s="189"/>
      <c r="G49" s="163"/>
      <c r="H49" s="159"/>
      <c r="I49" s="159"/>
      <c r="J49" s="159"/>
      <c r="K49" s="159"/>
      <c r="L49" s="159"/>
      <c r="M49" s="159"/>
      <c r="N49" s="159"/>
      <c r="O49" s="159"/>
      <c r="P49" s="159"/>
      <c r="Q49" s="159"/>
      <c r="R49" s="159"/>
      <c r="S49" s="159"/>
      <c r="T49" s="159"/>
      <c r="U49" s="159"/>
      <c r="V49" s="159"/>
    </row>
    <row r="50" spans="1:22" x14ac:dyDescent="0.2">
      <c r="A50" s="159"/>
      <c r="B50" s="165"/>
      <c r="C50" s="166" t="s">
        <v>93</v>
      </c>
      <c r="D50" s="159"/>
      <c r="E50" s="167">
        <f>tab!B2</f>
        <v>2024</v>
      </c>
      <c r="F50" s="181"/>
      <c r="G50" s="168"/>
      <c r="H50" s="159"/>
      <c r="I50" s="159"/>
      <c r="J50" s="159"/>
      <c r="K50" s="159"/>
      <c r="L50" s="159"/>
      <c r="M50" s="159"/>
      <c r="N50" s="159"/>
      <c r="O50" s="159"/>
      <c r="P50" s="159"/>
      <c r="Q50" s="159"/>
      <c r="R50" s="159"/>
      <c r="S50" s="159"/>
      <c r="T50" s="159"/>
      <c r="U50" s="159"/>
      <c r="V50" s="159"/>
    </row>
    <row r="51" spans="1:22" x14ac:dyDescent="0.2">
      <c r="A51" s="159"/>
      <c r="B51" s="165"/>
      <c r="C51" s="159"/>
      <c r="D51" s="159"/>
      <c r="E51" s="159"/>
      <c r="F51" s="181"/>
      <c r="G51" s="168"/>
      <c r="H51" s="159"/>
      <c r="I51" s="159"/>
      <c r="J51" s="159"/>
      <c r="K51" s="159"/>
      <c r="L51" s="159"/>
      <c r="M51" s="159"/>
      <c r="N51" s="159"/>
      <c r="O51" s="159"/>
      <c r="P51" s="159"/>
      <c r="Q51" s="159"/>
      <c r="R51" s="159"/>
      <c r="S51" s="159"/>
      <c r="T51" s="159"/>
      <c r="U51" s="159"/>
      <c r="V51" s="159"/>
    </row>
    <row r="52" spans="1:22" x14ac:dyDescent="0.2">
      <c r="A52" s="159"/>
      <c r="B52" s="165"/>
      <c r="C52" s="159" t="s">
        <v>94</v>
      </c>
      <c r="D52" s="159"/>
      <c r="E52" s="33"/>
      <c r="F52" s="95">
        <f>(E52*tab!B28)</f>
        <v>0</v>
      </c>
      <c r="G52" s="168"/>
      <c r="H52" s="159"/>
      <c r="I52" s="164"/>
      <c r="J52" s="178"/>
      <c r="K52" s="159"/>
      <c r="L52" s="159"/>
      <c r="M52" s="159"/>
      <c r="N52" s="159"/>
      <c r="O52" s="159"/>
      <c r="P52" s="159"/>
      <c r="Q52" s="159"/>
      <c r="R52" s="159"/>
      <c r="S52" s="159"/>
      <c r="T52" s="159"/>
      <c r="U52" s="159"/>
      <c r="V52" s="159"/>
    </row>
    <row r="53" spans="1:22" x14ac:dyDescent="0.2">
      <c r="A53" s="159"/>
      <c r="B53" s="185"/>
      <c r="C53" s="187"/>
      <c r="D53" s="187"/>
      <c r="E53" s="187"/>
      <c r="F53" s="190"/>
      <c r="G53" s="188"/>
      <c r="H53" s="159"/>
      <c r="I53" s="159"/>
      <c r="J53" s="159"/>
      <c r="K53" s="159"/>
      <c r="L53" s="159"/>
      <c r="M53" s="159"/>
      <c r="N53" s="159"/>
      <c r="O53" s="159"/>
      <c r="P53" s="159"/>
      <c r="Q53" s="159"/>
      <c r="R53" s="159"/>
      <c r="S53" s="159"/>
      <c r="T53" s="159"/>
      <c r="U53" s="159"/>
      <c r="V53" s="159"/>
    </row>
    <row r="54" spans="1:22" x14ac:dyDescent="0.2">
      <c r="A54" s="159"/>
      <c r="B54" s="159"/>
      <c r="C54" s="159"/>
      <c r="D54" s="159"/>
      <c r="E54" s="159"/>
      <c r="F54" s="181"/>
      <c r="G54" s="159"/>
      <c r="H54" s="159"/>
      <c r="I54" s="159"/>
      <c r="J54" s="159"/>
      <c r="K54" s="159"/>
      <c r="L54" s="159"/>
      <c r="M54" s="159"/>
      <c r="N54" s="159"/>
      <c r="O54" s="159"/>
      <c r="P54" s="159"/>
      <c r="Q54" s="159"/>
      <c r="R54" s="159"/>
      <c r="S54" s="159"/>
      <c r="T54" s="159"/>
      <c r="U54" s="159"/>
      <c r="V54" s="159"/>
    </row>
    <row r="55" spans="1:22" x14ac:dyDescent="0.2">
      <c r="A55" s="159"/>
      <c r="B55" s="161"/>
      <c r="C55" s="162"/>
      <c r="D55" s="162"/>
      <c r="E55" s="162"/>
      <c r="F55" s="189"/>
      <c r="G55" s="163"/>
      <c r="H55" s="159"/>
      <c r="I55" s="159"/>
      <c r="J55" s="159"/>
      <c r="K55" s="159"/>
      <c r="L55" s="159"/>
      <c r="M55" s="159"/>
      <c r="N55" s="159"/>
      <c r="O55" s="159"/>
      <c r="P55" s="159"/>
      <c r="Q55" s="159"/>
      <c r="R55" s="159"/>
      <c r="S55" s="159"/>
      <c r="T55" s="159"/>
      <c r="U55" s="159"/>
      <c r="V55" s="159"/>
    </row>
    <row r="56" spans="1:22" x14ac:dyDescent="0.2">
      <c r="A56" s="159"/>
      <c r="B56" s="165"/>
      <c r="C56" s="166" t="s">
        <v>95</v>
      </c>
      <c r="D56" s="159"/>
      <c r="E56" s="167">
        <f>tab!B2</f>
        <v>2024</v>
      </c>
      <c r="F56" s="181"/>
      <c r="G56" s="168"/>
      <c r="H56" s="159"/>
      <c r="I56" s="159"/>
      <c r="J56" s="159"/>
      <c r="K56" s="159"/>
      <c r="L56" s="159"/>
      <c r="M56" s="159"/>
      <c r="N56" s="159"/>
      <c r="O56" s="159"/>
      <c r="P56" s="159"/>
      <c r="Q56" s="159"/>
      <c r="R56" s="159"/>
      <c r="S56" s="159"/>
      <c r="T56" s="159"/>
      <c r="U56" s="159"/>
      <c r="V56" s="159"/>
    </row>
    <row r="57" spans="1:22" x14ac:dyDescent="0.2">
      <c r="A57" s="159"/>
      <c r="B57" s="165"/>
      <c r="C57" s="159"/>
      <c r="D57" s="159"/>
      <c r="E57" s="159"/>
      <c r="F57" s="181"/>
      <c r="G57" s="168"/>
      <c r="H57" s="159"/>
      <c r="I57" s="159"/>
      <c r="J57" s="159"/>
      <c r="K57" s="159"/>
      <c r="L57" s="159"/>
      <c r="M57" s="159"/>
      <c r="N57" s="159"/>
      <c r="O57" s="159"/>
      <c r="P57" s="159"/>
      <c r="Q57" s="159"/>
      <c r="R57" s="159"/>
      <c r="S57" s="159"/>
      <c r="T57" s="159"/>
      <c r="U57" s="159"/>
      <c r="V57" s="159"/>
    </row>
    <row r="58" spans="1:22" x14ac:dyDescent="0.2">
      <c r="A58" s="159"/>
      <c r="B58" s="165"/>
      <c r="C58" s="159" t="s">
        <v>96</v>
      </c>
      <c r="D58" s="159"/>
      <c r="E58" s="170">
        <v>3</v>
      </c>
      <c r="F58" s="181"/>
      <c r="G58" s="168"/>
      <c r="H58" s="159"/>
      <c r="I58" s="159"/>
      <c r="J58" s="159"/>
      <c r="K58" s="159"/>
      <c r="L58" s="159"/>
      <c r="M58" s="159"/>
      <c r="N58" s="159"/>
      <c r="O58" s="159"/>
      <c r="P58" s="159"/>
      <c r="Q58" s="159"/>
      <c r="R58" s="159"/>
      <c r="S58" s="159"/>
      <c r="T58" s="159"/>
      <c r="U58" s="159"/>
      <c r="V58" s="159"/>
    </row>
    <row r="59" spans="1:22" x14ac:dyDescent="0.2">
      <c r="A59" s="159"/>
      <c r="B59" s="165"/>
      <c r="C59" s="159"/>
      <c r="D59" s="159"/>
      <c r="E59" s="159"/>
      <c r="F59" s="181"/>
      <c r="G59" s="168"/>
      <c r="H59" s="159"/>
      <c r="I59" s="159"/>
      <c r="J59" s="159"/>
      <c r="K59" s="159"/>
      <c r="L59" s="159"/>
      <c r="M59" s="159"/>
      <c r="N59" s="159"/>
      <c r="O59" s="159"/>
      <c r="P59" s="159"/>
      <c r="Q59" s="159"/>
      <c r="R59" s="159"/>
      <c r="S59" s="159"/>
      <c r="T59" s="159"/>
      <c r="U59" s="159"/>
      <c r="V59" s="159"/>
    </row>
    <row r="60" spans="1:22" x14ac:dyDescent="0.2">
      <c r="A60" s="159"/>
      <c r="B60" s="165"/>
      <c r="C60" s="184" t="s">
        <v>97</v>
      </c>
      <c r="D60" s="159"/>
      <c r="E60" s="159"/>
      <c r="F60" s="181"/>
      <c r="G60" s="168"/>
      <c r="H60" s="159"/>
      <c r="I60" s="159"/>
      <c r="J60" s="159"/>
      <c r="K60" s="159"/>
      <c r="L60" s="159"/>
      <c r="M60" s="159"/>
      <c r="N60" s="159"/>
      <c r="O60" s="159"/>
      <c r="P60" s="159"/>
      <c r="Q60" s="159"/>
      <c r="R60" s="159"/>
      <c r="S60" s="159"/>
      <c r="T60" s="159"/>
      <c r="U60" s="159"/>
      <c r="V60" s="159"/>
    </row>
    <row r="61" spans="1:22" x14ac:dyDescent="0.2">
      <c r="A61" s="159"/>
      <c r="B61" s="165"/>
      <c r="C61" s="159" t="s">
        <v>98</v>
      </c>
      <c r="D61" s="159"/>
      <c r="E61" s="33"/>
      <c r="F61" s="93">
        <f>IF(E61&lt;$E$58,0,(E61*(tab!$B$21/12)*12))</f>
        <v>0</v>
      </c>
      <c r="G61" s="168"/>
      <c r="H61" s="159"/>
      <c r="I61" s="159"/>
      <c r="J61" s="159"/>
      <c r="K61" s="159"/>
      <c r="L61" s="159"/>
      <c r="M61" s="159"/>
      <c r="N61" s="159"/>
      <c r="O61" s="159"/>
      <c r="P61" s="159"/>
      <c r="Q61" s="159"/>
      <c r="R61" s="159"/>
      <c r="S61" s="159"/>
      <c r="T61" s="159"/>
      <c r="U61" s="159"/>
      <c r="V61" s="159"/>
    </row>
    <row r="62" spans="1:22" x14ac:dyDescent="0.2">
      <c r="A62" s="159"/>
      <c r="B62" s="165"/>
      <c r="C62" s="159" t="s">
        <v>99</v>
      </c>
      <c r="D62" s="159"/>
      <c r="E62" s="33"/>
      <c r="F62" s="93">
        <f>IF(E62&lt;$E$58,0,(E62*(tab!$B$21/12)*10))</f>
        <v>0</v>
      </c>
      <c r="G62" s="168"/>
      <c r="H62" s="159"/>
      <c r="I62" s="159"/>
      <c r="J62" s="159"/>
      <c r="K62" s="159"/>
      <c r="L62" s="159"/>
      <c r="M62" s="159"/>
      <c r="N62" s="159"/>
      <c r="O62" s="159"/>
      <c r="P62" s="159"/>
      <c r="Q62" s="159"/>
      <c r="R62" s="159"/>
      <c r="S62" s="159"/>
      <c r="T62" s="159"/>
      <c r="U62" s="159"/>
      <c r="V62" s="159"/>
    </row>
    <row r="63" spans="1:22" x14ac:dyDescent="0.2">
      <c r="A63" s="159"/>
      <c r="B63" s="165"/>
      <c r="C63" s="159" t="s">
        <v>100</v>
      </c>
      <c r="D63" s="159"/>
      <c r="E63" s="33"/>
      <c r="F63" s="93">
        <f>IF(E63&lt;$E$58,0,(E63*(tab!$B$21/12)*9))</f>
        <v>0</v>
      </c>
      <c r="G63" s="168"/>
      <c r="H63" s="159"/>
      <c r="I63" s="159"/>
      <c r="J63" s="159"/>
      <c r="K63" s="159"/>
      <c r="L63" s="159"/>
      <c r="M63" s="159"/>
      <c r="N63" s="159"/>
      <c r="O63" s="159"/>
      <c r="P63" s="159"/>
      <c r="Q63" s="159"/>
      <c r="R63" s="159"/>
      <c r="S63" s="159"/>
      <c r="T63" s="159"/>
      <c r="U63" s="159"/>
      <c r="V63" s="159"/>
    </row>
    <row r="64" spans="1:22" x14ac:dyDescent="0.2">
      <c r="A64" s="159"/>
      <c r="B64" s="165"/>
      <c r="C64" s="159" t="s">
        <v>101</v>
      </c>
      <c r="D64" s="159"/>
      <c r="E64" s="33"/>
      <c r="F64" s="93">
        <f>IF(E64&lt;$E$58,0,(E64*(tab!$B$21/12)*8))</f>
        <v>0</v>
      </c>
      <c r="G64" s="168"/>
      <c r="H64" s="159"/>
      <c r="I64" s="159"/>
      <c r="J64" s="159"/>
      <c r="K64" s="159"/>
      <c r="L64" s="159"/>
      <c r="M64" s="159"/>
      <c r="N64" s="159"/>
      <c r="O64" s="159"/>
      <c r="P64" s="159"/>
      <c r="Q64" s="159"/>
      <c r="R64" s="159"/>
      <c r="S64" s="159"/>
      <c r="T64" s="159"/>
      <c r="U64" s="159"/>
      <c r="V64" s="159"/>
    </row>
    <row r="65" spans="1:22" x14ac:dyDescent="0.2">
      <c r="A65" s="159"/>
      <c r="B65" s="165"/>
      <c r="C65" s="159" t="s">
        <v>102</v>
      </c>
      <c r="D65" s="159"/>
      <c r="E65" s="33"/>
      <c r="F65" s="93">
        <f>IF(E65&lt;$E$58,0,(E65*(tab!$B$21/12)*7))</f>
        <v>0</v>
      </c>
      <c r="G65" s="168"/>
      <c r="H65" s="159"/>
      <c r="I65" s="159"/>
      <c r="J65" s="159"/>
      <c r="K65" s="159"/>
      <c r="L65" s="159"/>
      <c r="M65" s="159"/>
      <c r="N65" s="159"/>
      <c r="O65" s="159"/>
      <c r="P65" s="159"/>
      <c r="Q65" s="159"/>
      <c r="R65" s="159"/>
      <c r="S65" s="159"/>
      <c r="T65" s="159"/>
      <c r="U65" s="159"/>
      <c r="V65" s="159"/>
    </row>
    <row r="66" spans="1:22" x14ac:dyDescent="0.2">
      <c r="A66" s="159"/>
      <c r="B66" s="165"/>
      <c r="C66" s="159" t="s">
        <v>103</v>
      </c>
      <c r="D66" s="159"/>
      <c r="E66" s="33"/>
      <c r="F66" s="93">
        <f>IF(E66&lt;$E$58,0,(E66*(tab!$B$21/12)*6))</f>
        <v>0</v>
      </c>
      <c r="G66" s="168"/>
      <c r="H66" s="159"/>
      <c r="I66" s="159"/>
      <c r="J66" s="159"/>
      <c r="K66" s="159"/>
      <c r="L66" s="159"/>
      <c r="M66" s="159"/>
      <c r="N66" s="159"/>
      <c r="O66" s="159"/>
      <c r="P66" s="159"/>
      <c r="Q66" s="159"/>
      <c r="R66" s="159"/>
      <c r="S66" s="159"/>
      <c r="T66" s="159"/>
      <c r="U66" s="159"/>
      <c r="V66" s="159"/>
    </row>
    <row r="67" spans="1:22" x14ac:dyDescent="0.2">
      <c r="A67" s="159"/>
      <c r="B67" s="165"/>
      <c r="C67" s="159" t="s">
        <v>104</v>
      </c>
      <c r="D67" s="159"/>
      <c r="E67" s="33"/>
      <c r="F67" s="93">
        <f>IF(E67&lt;$E$58,0,(E67*(tab!$B$21/12)*5))</f>
        <v>0</v>
      </c>
      <c r="G67" s="168"/>
      <c r="H67" s="159"/>
      <c r="I67" s="159"/>
      <c r="J67" s="159"/>
      <c r="K67" s="159"/>
      <c r="L67" s="159"/>
      <c r="M67" s="159"/>
      <c r="N67" s="159"/>
      <c r="O67" s="159"/>
      <c r="P67" s="159"/>
      <c r="Q67" s="159"/>
      <c r="R67" s="159"/>
      <c r="S67" s="159"/>
      <c r="T67" s="159"/>
      <c r="U67" s="159"/>
      <c r="V67" s="159"/>
    </row>
    <row r="68" spans="1:22" x14ac:dyDescent="0.2">
      <c r="A68" s="159"/>
      <c r="B68" s="165"/>
      <c r="C68" s="159" t="s">
        <v>105</v>
      </c>
      <c r="D68" s="159"/>
      <c r="E68" s="33"/>
      <c r="F68" s="93">
        <f>IF(E68&lt;$E$58,0,(E68*(tab!$B$21/12)*4))</f>
        <v>0</v>
      </c>
      <c r="G68" s="168"/>
      <c r="H68" s="159"/>
      <c r="I68" s="159"/>
      <c r="J68" s="159"/>
      <c r="K68" s="159"/>
      <c r="L68" s="159"/>
      <c r="M68" s="159"/>
      <c r="N68" s="159"/>
      <c r="O68" s="159"/>
      <c r="P68" s="159"/>
      <c r="Q68" s="159"/>
      <c r="R68" s="159"/>
      <c r="S68" s="159"/>
      <c r="T68" s="159"/>
      <c r="U68" s="159"/>
      <c r="V68" s="159"/>
    </row>
    <row r="69" spans="1:22" x14ac:dyDescent="0.2">
      <c r="A69" s="159"/>
      <c r="B69" s="165"/>
      <c r="C69" s="159" t="s">
        <v>106</v>
      </c>
      <c r="D69" s="159"/>
      <c r="E69" s="33"/>
      <c r="F69" s="93">
        <f>IF(E69&lt;$E$58,0,(E69*(tab!$B$21/12)*3))</f>
        <v>0</v>
      </c>
      <c r="G69" s="168"/>
      <c r="H69" s="159"/>
      <c r="I69" s="159"/>
      <c r="J69" s="159"/>
      <c r="K69" s="159"/>
      <c r="L69" s="159"/>
      <c r="M69" s="159"/>
      <c r="N69" s="159"/>
      <c r="O69" s="159"/>
      <c r="P69" s="159"/>
      <c r="Q69" s="159"/>
      <c r="R69" s="159"/>
      <c r="S69" s="159"/>
      <c r="T69" s="159"/>
      <c r="U69" s="159"/>
      <c r="V69" s="159"/>
    </row>
    <row r="70" spans="1:22" x14ac:dyDescent="0.2">
      <c r="A70" s="159"/>
      <c r="B70" s="165"/>
      <c r="C70" s="159" t="s">
        <v>107</v>
      </c>
      <c r="D70" s="159"/>
      <c r="E70" s="33"/>
      <c r="F70" s="93">
        <f>IF(E70&lt;$E$58,0,(E70*(tab!$B$21/12)*2))</f>
        <v>0</v>
      </c>
      <c r="G70" s="168"/>
      <c r="H70" s="159"/>
      <c r="I70" s="159"/>
      <c r="J70" s="159"/>
      <c r="K70" s="159"/>
      <c r="L70" s="159"/>
      <c r="M70" s="159"/>
      <c r="N70" s="159"/>
      <c r="O70" s="159"/>
      <c r="P70" s="159"/>
      <c r="Q70" s="159"/>
      <c r="R70" s="159"/>
      <c r="S70" s="159"/>
      <c r="T70" s="159"/>
      <c r="U70" s="159"/>
      <c r="V70" s="159"/>
    </row>
    <row r="71" spans="1:22" x14ac:dyDescent="0.2">
      <c r="A71" s="159"/>
      <c r="B71" s="165"/>
      <c r="C71" s="159" t="s">
        <v>108</v>
      </c>
      <c r="D71" s="159"/>
      <c r="E71" s="33"/>
      <c r="F71" s="93">
        <f>IF(E71&lt;$E$58,0,(E71*(tab!$B$21/12)*1))</f>
        <v>0</v>
      </c>
      <c r="G71" s="168"/>
      <c r="H71" s="159"/>
      <c r="I71" s="159"/>
      <c r="J71" s="159"/>
      <c r="K71" s="159"/>
      <c r="L71" s="159"/>
      <c r="M71" s="159"/>
      <c r="N71" s="159"/>
      <c r="O71" s="159"/>
      <c r="P71" s="159"/>
      <c r="Q71" s="159"/>
      <c r="R71" s="159"/>
      <c r="S71" s="159"/>
      <c r="T71" s="159"/>
      <c r="U71" s="159"/>
      <c r="V71" s="159"/>
    </row>
    <row r="72" spans="1:22" x14ac:dyDescent="0.2">
      <c r="A72" s="159"/>
      <c r="B72" s="165"/>
      <c r="C72" s="174" t="s">
        <v>87</v>
      </c>
      <c r="D72" s="159"/>
      <c r="E72" s="159"/>
      <c r="F72" s="183">
        <f>SUM(F61:F71)</f>
        <v>0</v>
      </c>
      <c r="G72" s="168"/>
      <c r="H72" s="159"/>
      <c r="I72" s="159"/>
      <c r="J72" s="159"/>
      <c r="K72" s="159"/>
      <c r="L72" s="159"/>
      <c r="M72" s="159"/>
      <c r="N72" s="159"/>
      <c r="O72" s="159"/>
      <c r="P72" s="159"/>
      <c r="Q72" s="159"/>
      <c r="R72" s="159"/>
      <c r="S72" s="159"/>
      <c r="T72" s="159"/>
      <c r="U72" s="159"/>
      <c r="V72" s="159"/>
    </row>
    <row r="73" spans="1:22" x14ac:dyDescent="0.2">
      <c r="A73" s="159"/>
      <c r="B73" s="185"/>
      <c r="C73" s="187"/>
      <c r="D73" s="187"/>
      <c r="E73" s="187"/>
      <c r="F73" s="190"/>
      <c r="G73" s="188"/>
      <c r="H73" s="159"/>
      <c r="I73" s="159"/>
      <c r="J73" s="159"/>
      <c r="K73" s="159"/>
      <c r="L73" s="159"/>
      <c r="M73" s="159"/>
      <c r="N73" s="159"/>
      <c r="O73" s="159"/>
      <c r="P73" s="159"/>
      <c r="Q73" s="159"/>
      <c r="R73" s="159"/>
      <c r="S73" s="159"/>
      <c r="T73" s="159"/>
      <c r="U73" s="159"/>
      <c r="V73" s="159"/>
    </row>
    <row r="74" spans="1:22" x14ac:dyDescent="0.2">
      <c r="A74" s="159"/>
      <c r="B74" s="159"/>
      <c r="C74" s="159"/>
      <c r="D74" s="159"/>
      <c r="E74" s="159"/>
      <c r="F74" s="181"/>
      <c r="G74" s="159"/>
      <c r="H74" s="159"/>
      <c r="I74" s="159"/>
      <c r="J74" s="159"/>
      <c r="K74" s="159"/>
      <c r="L74" s="159"/>
      <c r="M74" s="159"/>
      <c r="N74" s="159"/>
      <c r="O74" s="159"/>
      <c r="P74" s="159"/>
      <c r="Q74" s="159"/>
      <c r="R74" s="159"/>
      <c r="S74" s="159"/>
      <c r="T74" s="159"/>
      <c r="U74" s="159"/>
      <c r="V74" s="159"/>
    </row>
    <row r="75" spans="1:22" x14ac:dyDescent="0.2">
      <c r="A75" s="159"/>
      <c r="B75" s="161"/>
      <c r="C75" s="162"/>
      <c r="D75" s="162"/>
      <c r="E75" s="162"/>
      <c r="F75" s="189"/>
      <c r="G75" s="163"/>
      <c r="H75" s="159"/>
      <c r="I75" s="159"/>
      <c r="J75" s="159"/>
      <c r="K75" s="159"/>
      <c r="L75" s="159"/>
      <c r="M75" s="159"/>
      <c r="N75" s="159"/>
      <c r="O75" s="159"/>
      <c r="P75" s="159"/>
      <c r="Q75" s="159"/>
      <c r="R75" s="159"/>
      <c r="S75" s="159"/>
      <c r="T75" s="159"/>
      <c r="U75" s="159"/>
      <c r="V75" s="159"/>
    </row>
    <row r="76" spans="1:22" x14ac:dyDescent="0.2">
      <c r="A76" s="159"/>
      <c r="B76" s="165"/>
      <c r="C76" s="166" t="s">
        <v>109</v>
      </c>
      <c r="D76" s="159"/>
      <c r="E76" s="167">
        <f>tab!B2</f>
        <v>2024</v>
      </c>
      <c r="F76" s="181"/>
      <c r="G76" s="168"/>
      <c r="H76" s="159"/>
      <c r="I76" s="159"/>
      <c r="J76" s="159"/>
      <c r="K76" s="159"/>
      <c r="L76" s="159"/>
      <c r="M76" s="159"/>
      <c r="N76" s="159"/>
      <c r="O76" s="159"/>
      <c r="P76" s="159"/>
      <c r="Q76" s="159"/>
      <c r="R76" s="159"/>
      <c r="S76" s="159"/>
      <c r="T76" s="159"/>
      <c r="U76" s="159"/>
      <c r="V76" s="159"/>
    </row>
    <row r="77" spans="1:22" x14ac:dyDescent="0.2">
      <c r="A77" s="159"/>
      <c r="B77" s="165"/>
      <c r="C77" s="159"/>
      <c r="D77" s="159"/>
      <c r="E77" s="159"/>
      <c r="F77" s="181"/>
      <c r="G77" s="168"/>
      <c r="H77" s="159"/>
      <c r="I77" s="159"/>
      <c r="J77" s="159"/>
      <c r="K77" s="159"/>
      <c r="L77" s="159"/>
      <c r="M77" s="159"/>
      <c r="N77" s="159"/>
      <c r="O77" s="159"/>
      <c r="P77" s="159"/>
      <c r="Q77" s="159"/>
      <c r="R77" s="159"/>
      <c r="S77" s="159"/>
      <c r="T77" s="159"/>
      <c r="U77" s="159"/>
      <c r="V77" s="159"/>
    </row>
    <row r="78" spans="1:22" x14ac:dyDescent="0.2">
      <c r="A78" s="159"/>
      <c r="B78" s="165"/>
      <c r="C78" s="159" t="s">
        <v>110</v>
      </c>
      <c r="D78" s="159"/>
      <c r="E78" s="170">
        <v>4</v>
      </c>
      <c r="F78" s="181"/>
      <c r="G78" s="168"/>
      <c r="H78" s="159"/>
      <c r="I78" s="159"/>
      <c r="J78" s="159"/>
      <c r="K78" s="159"/>
      <c r="L78" s="159"/>
      <c r="M78" s="159"/>
      <c r="N78" s="159"/>
      <c r="O78" s="159"/>
      <c r="P78" s="159"/>
      <c r="Q78" s="159"/>
      <c r="R78" s="159"/>
      <c r="S78" s="159"/>
      <c r="T78" s="159"/>
      <c r="U78" s="159"/>
      <c r="V78" s="159"/>
    </row>
    <row r="79" spans="1:22" x14ac:dyDescent="0.2">
      <c r="A79" s="159"/>
      <c r="B79" s="165"/>
      <c r="C79" s="159"/>
      <c r="D79" s="159"/>
      <c r="E79" s="159"/>
      <c r="F79" s="181"/>
      <c r="G79" s="168"/>
      <c r="H79" s="159"/>
      <c r="I79" s="159"/>
      <c r="J79" s="159"/>
      <c r="K79" s="159"/>
      <c r="L79" s="159"/>
      <c r="M79" s="159"/>
      <c r="N79" s="159"/>
      <c r="O79" s="159"/>
      <c r="P79" s="159"/>
      <c r="Q79" s="159"/>
      <c r="R79" s="159"/>
      <c r="S79" s="159"/>
      <c r="T79" s="159"/>
      <c r="U79" s="159"/>
      <c r="V79" s="159"/>
    </row>
    <row r="80" spans="1:22" x14ac:dyDescent="0.2">
      <c r="A80" s="159"/>
      <c r="B80" s="165"/>
      <c r="C80" s="184" t="s">
        <v>97</v>
      </c>
      <c r="D80" s="159"/>
      <c r="E80" s="159"/>
      <c r="F80" s="181"/>
      <c r="G80" s="168"/>
      <c r="H80" s="159"/>
      <c r="I80" s="159"/>
      <c r="J80" s="159"/>
      <c r="K80" s="159"/>
      <c r="L80" s="159"/>
      <c r="M80" s="159"/>
      <c r="N80" s="159"/>
      <c r="O80" s="159"/>
      <c r="P80" s="159"/>
      <c r="Q80" s="159"/>
      <c r="R80" s="159"/>
      <c r="S80" s="159"/>
      <c r="T80" s="159"/>
      <c r="U80" s="159"/>
      <c r="V80" s="159"/>
    </row>
    <row r="81" spans="1:22" x14ac:dyDescent="0.2">
      <c r="A81" s="159"/>
      <c r="B81" s="165"/>
      <c r="C81" s="159" t="s">
        <v>98</v>
      </c>
      <c r="D81" s="159"/>
      <c r="E81" s="33"/>
      <c r="F81" s="93">
        <f>IF(E81&lt;$E$78,0,(E81*(tab!$B$22/12)*12))</f>
        <v>0</v>
      </c>
      <c r="G81" s="168"/>
      <c r="H81" s="159"/>
      <c r="I81" s="159"/>
      <c r="J81" s="159"/>
      <c r="K81" s="159"/>
      <c r="L81" s="159"/>
      <c r="M81" s="159"/>
      <c r="N81" s="159"/>
      <c r="O81" s="159"/>
      <c r="P81" s="159"/>
      <c r="Q81" s="159"/>
      <c r="R81" s="159"/>
      <c r="S81" s="159"/>
      <c r="T81" s="159"/>
      <c r="U81" s="159"/>
      <c r="V81" s="159"/>
    </row>
    <row r="82" spans="1:22" x14ac:dyDescent="0.2">
      <c r="A82" s="159"/>
      <c r="B82" s="165"/>
      <c r="C82" s="159" t="s">
        <v>99</v>
      </c>
      <c r="D82" s="159"/>
      <c r="E82" s="33"/>
      <c r="F82" s="93">
        <f>IF(E82&lt;$E$78,0,(E82*(tab!$B$22/12)*10))</f>
        <v>0</v>
      </c>
      <c r="G82" s="168"/>
      <c r="H82" s="159"/>
      <c r="I82" s="159"/>
      <c r="J82" s="159"/>
      <c r="K82" s="159"/>
      <c r="L82" s="159"/>
      <c r="M82" s="159"/>
      <c r="N82" s="159"/>
      <c r="O82" s="159"/>
      <c r="P82" s="159"/>
      <c r="Q82" s="159"/>
      <c r="R82" s="159"/>
      <c r="S82" s="159"/>
      <c r="T82" s="159"/>
      <c r="U82" s="159"/>
      <c r="V82" s="159"/>
    </row>
    <row r="83" spans="1:22" x14ac:dyDescent="0.2">
      <c r="A83" s="159"/>
      <c r="B83" s="165"/>
      <c r="C83" s="159" t="s">
        <v>100</v>
      </c>
      <c r="D83" s="159"/>
      <c r="E83" s="33"/>
      <c r="F83" s="93">
        <f>IF(E83&lt;$E$78,0,(E83*(tab!$B$22/12)*9))</f>
        <v>0</v>
      </c>
      <c r="G83" s="168"/>
      <c r="H83" s="159"/>
      <c r="I83" s="159"/>
      <c r="J83" s="159"/>
      <c r="K83" s="159"/>
      <c r="L83" s="159"/>
      <c r="M83" s="159"/>
      <c r="N83" s="159"/>
      <c r="O83" s="159"/>
      <c r="P83" s="159"/>
      <c r="Q83" s="159"/>
      <c r="R83" s="159"/>
      <c r="S83" s="159"/>
      <c r="T83" s="159"/>
      <c r="U83" s="159"/>
      <c r="V83" s="159"/>
    </row>
    <row r="84" spans="1:22" x14ac:dyDescent="0.2">
      <c r="A84" s="159"/>
      <c r="B84" s="165"/>
      <c r="C84" s="159" t="s">
        <v>101</v>
      </c>
      <c r="D84" s="159"/>
      <c r="E84" s="33"/>
      <c r="F84" s="93">
        <f>IF(E84&lt;$E$78,0,(E84*(tab!$B$22/12)*8))</f>
        <v>0</v>
      </c>
      <c r="G84" s="168"/>
      <c r="H84" s="159"/>
      <c r="I84" s="159"/>
      <c r="J84" s="159"/>
      <c r="K84" s="159"/>
      <c r="L84" s="159"/>
      <c r="M84" s="159"/>
      <c r="N84" s="159"/>
      <c r="O84" s="159"/>
      <c r="P84" s="159"/>
      <c r="Q84" s="159"/>
      <c r="R84" s="159"/>
      <c r="S84" s="159"/>
      <c r="T84" s="159"/>
      <c r="U84" s="159"/>
      <c r="V84" s="159"/>
    </row>
    <row r="85" spans="1:22" x14ac:dyDescent="0.2">
      <c r="A85" s="159"/>
      <c r="B85" s="165"/>
      <c r="C85" s="159" t="s">
        <v>102</v>
      </c>
      <c r="D85" s="159"/>
      <c r="E85" s="33"/>
      <c r="F85" s="93">
        <f>IF(E85&lt;$E$78,0,(E85*(tab!$B$22/12)*7))</f>
        <v>0</v>
      </c>
      <c r="G85" s="168"/>
      <c r="H85" s="159"/>
      <c r="I85" s="159"/>
      <c r="J85" s="159"/>
      <c r="K85" s="159"/>
      <c r="L85" s="159"/>
      <c r="M85" s="159"/>
      <c r="N85" s="159"/>
      <c r="O85" s="159"/>
      <c r="P85" s="159"/>
      <c r="Q85" s="159"/>
      <c r="R85" s="159"/>
      <c r="S85" s="159"/>
      <c r="T85" s="159"/>
      <c r="U85" s="159"/>
      <c r="V85" s="159"/>
    </row>
    <row r="86" spans="1:22" x14ac:dyDescent="0.2">
      <c r="A86" s="159"/>
      <c r="B86" s="165"/>
      <c r="C86" s="159" t="s">
        <v>103</v>
      </c>
      <c r="D86" s="159"/>
      <c r="E86" s="33"/>
      <c r="F86" s="93">
        <f>IF(E86&lt;$E$78,0,(E86*(tab!$B$22/12)*6))</f>
        <v>0</v>
      </c>
      <c r="G86" s="168"/>
      <c r="H86" s="159"/>
      <c r="I86" s="159"/>
      <c r="J86" s="159"/>
      <c r="K86" s="159"/>
      <c r="L86" s="159"/>
      <c r="M86" s="159"/>
      <c r="N86" s="159"/>
      <c r="O86" s="159"/>
      <c r="P86" s="159"/>
      <c r="Q86" s="159"/>
      <c r="R86" s="159"/>
      <c r="S86" s="159"/>
      <c r="T86" s="159"/>
      <c r="U86" s="159"/>
      <c r="V86" s="159"/>
    </row>
    <row r="87" spans="1:22" x14ac:dyDescent="0.2">
      <c r="A87" s="159"/>
      <c r="B87" s="165"/>
      <c r="C87" s="159" t="s">
        <v>104</v>
      </c>
      <c r="D87" s="159"/>
      <c r="E87" s="33"/>
      <c r="F87" s="93">
        <f>IF(E87&lt;$E$78,0,(E87*(tab!$B$22/12)*5))</f>
        <v>0</v>
      </c>
      <c r="G87" s="168"/>
      <c r="H87" s="159"/>
      <c r="I87" s="159"/>
      <c r="J87" s="159"/>
      <c r="K87" s="159"/>
      <c r="L87" s="159"/>
      <c r="M87" s="159"/>
      <c r="N87" s="159"/>
      <c r="O87" s="159"/>
      <c r="P87" s="159"/>
      <c r="Q87" s="159"/>
      <c r="R87" s="159"/>
      <c r="S87" s="159"/>
      <c r="T87" s="159"/>
      <c r="U87" s="159"/>
      <c r="V87" s="159"/>
    </row>
    <row r="88" spans="1:22" x14ac:dyDescent="0.2">
      <c r="A88" s="159"/>
      <c r="B88" s="165"/>
      <c r="C88" s="159" t="s">
        <v>105</v>
      </c>
      <c r="D88" s="159"/>
      <c r="E88" s="33"/>
      <c r="F88" s="93">
        <f>IF(E88&lt;$E$78,0,(E88*(tab!$B$22/12)*4))</f>
        <v>0</v>
      </c>
      <c r="G88" s="168"/>
      <c r="H88" s="159"/>
      <c r="I88" s="159"/>
      <c r="J88" s="159"/>
      <c r="K88" s="159"/>
      <c r="L88" s="159"/>
      <c r="M88" s="159"/>
      <c r="N88" s="159"/>
      <c r="O88" s="159"/>
      <c r="P88" s="159"/>
      <c r="Q88" s="159"/>
      <c r="R88" s="159"/>
      <c r="S88" s="159"/>
      <c r="T88" s="159"/>
      <c r="U88" s="159"/>
      <c r="V88" s="159"/>
    </row>
    <row r="89" spans="1:22" x14ac:dyDescent="0.2">
      <c r="A89" s="159"/>
      <c r="B89" s="165"/>
      <c r="C89" s="159" t="s">
        <v>106</v>
      </c>
      <c r="D89" s="159"/>
      <c r="E89" s="33"/>
      <c r="F89" s="93">
        <f>IF(E89&lt;$E$78,0,(E89*(tab!$B$22/12)*3))</f>
        <v>0</v>
      </c>
      <c r="G89" s="168"/>
      <c r="H89" s="159"/>
      <c r="I89" s="159"/>
      <c r="J89" s="159"/>
      <c r="K89" s="159"/>
      <c r="L89" s="159"/>
      <c r="M89" s="159"/>
      <c r="N89" s="159"/>
      <c r="O89" s="159"/>
      <c r="P89" s="159"/>
      <c r="Q89" s="159"/>
      <c r="R89" s="159"/>
      <c r="S89" s="159"/>
      <c r="T89" s="159"/>
      <c r="U89" s="159"/>
      <c r="V89" s="159"/>
    </row>
    <row r="90" spans="1:22" x14ac:dyDescent="0.2">
      <c r="A90" s="159"/>
      <c r="B90" s="165"/>
      <c r="C90" s="159" t="s">
        <v>107</v>
      </c>
      <c r="D90" s="159"/>
      <c r="E90" s="33"/>
      <c r="F90" s="93">
        <f>IF(E90&lt;$E$78,0,(E90*(tab!$B$22/12)*2))</f>
        <v>0</v>
      </c>
      <c r="G90" s="168"/>
      <c r="H90" s="159"/>
      <c r="I90" s="159"/>
      <c r="J90" s="159"/>
      <c r="K90" s="159"/>
      <c r="L90" s="159"/>
      <c r="M90" s="159"/>
      <c r="N90" s="159"/>
      <c r="O90" s="159"/>
      <c r="P90" s="159"/>
      <c r="Q90" s="159"/>
      <c r="R90" s="159"/>
      <c r="S90" s="159"/>
      <c r="T90" s="159"/>
      <c r="U90" s="159"/>
      <c r="V90" s="159"/>
    </row>
    <row r="91" spans="1:22" x14ac:dyDescent="0.2">
      <c r="A91" s="159"/>
      <c r="B91" s="165"/>
      <c r="C91" s="159" t="s">
        <v>108</v>
      </c>
      <c r="D91" s="159"/>
      <c r="E91" s="33"/>
      <c r="F91" s="93">
        <f>IF(E91&lt;$E$78,0,(E91*(tab!$B$22/12)*1))</f>
        <v>0</v>
      </c>
      <c r="G91" s="168"/>
      <c r="H91" s="159"/>
      <c r="I91" s="159"/>
      <c r="J91" s="159"/>
      <c r="K91" s="159"/>
      <c r="L91" s="159"/>
      <c r="M91" s="159"/>
      <c r="N91" s="159"/>
      <c r="O91" s="159"/>
      <c r="P91" s="159"/>
      <c r="Q91" s="159"/>
      <c r="R91" s="159"/>
      <c r="S91" s="159"/>
      <c r="T91" s="159"/>
      <c r="U91" s="159"/>
      <c r="V91" s="159"/>
    </row>
    <row r="92" spans="1:22" x14ac:dyDescent="0.2">
      <c r="A92" s="159"/>
      <c r="B92" s="165"/>
      <c r="C92" s="174" t="s">
        <v>87</v>
      </c>
      <c r="D92" s="159"/>
      <c r="E92" s="159"/>
      <c r="F92" s="183">
        <f>SUM(F81:F91)</f>
        <v>0</v>
      </c>
      <c r="G92" s="168"/>
      <c r="H92" s="159"/>
      <c r="I92" s="159"/>
      <c r="J92" s="159"/>
      <c r="K92" s="159"/>
      <c r="L92" s="159"/>
      <c r="M92" s="159"/>
      <c r="N92" s="159"/>
      <c r="O92" s="159"/>
      <c r="P92" s="159"/>
      <c r="Q92" s="159"/>
      <c r="R92" s="159"/>
      <c r="S92" s="159"/>
      <c r="T92" s="159"/>
      <c r="U92" s="159"/>
      <c r="V92" s="159"/>
    </row>
    <row r="93" spans="1:22" x14ac:dyDescent="0.2">
      <c r="A93" s="159"/>
      <c r="B93" s="185"/>
      <c r="C93" s="187"/>
      <c r="D93" s="187"/>
      <c r="E93" s="187"/>
      <c r="F93" s="190"/>
      <c r="G93" s="188"/>
      <c r="H93" s="159"/>
      <c r="I93" s="159"/>
      <c r="J93" s="159"/>
      <c r="K93" s="159"/>
      <c r="L93" s="159"/>
      <c r="M93" s="159"/>
      <c r="N93" s="159"/>
      <c r="O93" s="159"/>
      <c r="P93" s="159"/>
      <c r="Q93" s="159"/>
      <c r="R93" s="159"/>
      <c r="S93" s="159"/>
      <c r="T93" s="159"/>
      <c r="U93" s="159"/>
      <c r="V93" s="159"/>
    </row>
    <row r="94" spans="1:22" x14ac:dyDescent="0.2">
      <c r="A94" s="159"/>
      <c r="B94" s="159"/>
      <c r="C94" s="159"/>
      <c r="D94" s="159"/>
      <c r="E94" s="159"/>
      <c r="F94" s="181"/>
      <c r="G94" s="159"/>
      <c r="H94" s="159"/>
      <c r="I94" s="159"/>
      <c r="J94" s="159"/>
      <c r="K94" s="159"/>
      <c r="L94" s="159"/>
      <c r="M94" s="159"/>
      <c r="N94" s="159"/>
      <c r="O94" s="159"/>
      <c r="P94" s="159"/>
      <c r="Q94" s="159"/>
      <c r="R94" s="159"/>
      <c r="S94" s="159"/>
      <c r="T94" s="159"/>
      <c r="U94" s="159"/>
      <c r="V94" s="159"/>
    </row>
    <row r="95" spans="1:22" x14ac:dyDescent="0.2">
      <c r="A95" s="159"/>
      <c r="B95" s="161"/>
      <c r="C95" s="162"/>
      <c r="D95" s="162"/>
      <c r="E95" s="162"/>
      <c r="F95" s="189"/>
      <c r="G95" s="163"/>
      <c r="H95" s="159"/>
      <c r="I95" s="159"/>
      <c r="J95" s="159"/>
      <c r="K95" s="159"/>
      <c r="L95" s="159"/>
      <c r="M95" s="159"/>
      <c r="N95" s="159"/>
      <c r="O95" s="159"/>
      <c r="P95" s="159"/>
      <c r="Q95" s="159"/>
      <c r="R95" s="159"/>
      <c r="S95" s="159"/>
      <c r="T95" s="159"/>
      <c r="U95" s="159"/>
      <c r="V95" s="159"/>
    </row>
    <row r="96" spans="1:22" x14ac:dyDescent="0.2">
      <c r="A96" s="159"/>
      <c r="B96" s="165"/>
      <c r="C96" s="166" t="s">
        <v>111</v>
      </c>
      <c r="D96" s="159"/>
      <c r="E96" s="167">
        <f>tab!B2</f>
        <v>2024</v>
      </c>
      <c r="F96" s="181"/>
      <c r="G96" s="168"/>
      <c r="H96" s="159"/>
      <c r="I96" s="159"/>
      <c r="J96" s="159"/>
      <c r="K96" s="159"/>
      <c r="L96" s="159"/>
      <c r="M96" s="159"/>
      <c r="N96" s="159"/>
      <c r="O96" s="159"/>
      <c r="P96" s="159"/>
      <c r="Q96" s="159"/>
      <c r="R96" s="159"/>
      <c r="S96" s="159"/>
      <c r="T96" s="159"/>
      <c r="U96" s="159"/>
      <c r="V96" s="159"/>
    </row>
    <row r="97" spans="1:22" x14ac:dyDescent="0.2">
      <c r="A97" s="159"/>
      <c r="B97" s="165"/>
      <c r="C97" s="159"/>
      <c r="D97" s="159"/>
      <c r="E97" s="159"/>
      <c r="F97" s="181"/>
      <c r="G97" s="168"/>
      <c r="H97" s="159"/>
      <c r="I97" s="159"/>
      <c r="J97" s="159"/>
      <c r="K97" s="159"/>
      <c r="L97" s="159"/>
      <c r="M97" s="159"/>
      <c r="N97" s="159"/>
      <c r="O97" s="159"/>
      <c r="P97" s="159"/>
      <c r="Q97" s="159"/>
      <c r="R97" s="159"/>
      <c r="S97" s="159"/>
      <c r="T97" s="159"/>
      <c r="U97" s="159"/>
      <c r="V97" s="159"/>
    </row>
    <row r="98" spans="1:22" x14ac:dyDescent="0.2">
      <c r="A98" s="159"/>
      <c r="B98" s="165"/>
      <c r="C98" s="159" t="s">
        <v>110</v>
      </c>
      <c r="D98" s="159"/>
      <c r="E98" s="170">
        <v>10</v>
      </c>
      <c r="F98" s="181"/>
      <c r="G98" s="168"/>
      <c r="H98" s="159"/>
      <c r="I98" s="159"/>
      <c r="J98" s="159"/>
      <c r="K98" s="159"/>
      <c r="L98" s="159"/>
      <c r="M98" s="159"/>
      <c r="N98" s="159"/>
      <c r="O98" s="159"/>
      <c r="P98" s="159"/>
      <c r="Q98" s="159"/>
      <c r="R98" s="159"/>
      <c r="S98" s="159"/>
      <c r="T98" s="159"/>
      <c r="U98" s="159"/>
      <c r="V98" s="159"/>
    </row>
    <row r="99" spans="1:22" x14ac:dyDescent="0.2">
      <c r="A99" s="159"/>
      <c r="B99" s="165"/>
      <c r="C99" s="159"/>
      <c r="D99" s="159"/>
      <c r="E99" s="159"/>
      <c r="F99" s="181"/>
      <c r="G99" s="168"/>
      <c r="H99" s="159"/>
      <c r="I99" s="159"/>
      <c r="J99" s="159"/>
      <c r="K99" s="159"/>
      <c r="L99" s="159"/>
      <c r="M99" s="159"/>
      <c r="N99" s="159"/>
      <c r="O99" s="159"/>
      <c r="P99" s="159"/>
      <c r="Q99" s="159"/>
      <c r="R99" s="159"/>
      <c r="S99" s="159"/>
      <c r="T99" s="159"/>
      <c r="U99" s="159"/>
      <c r="V99" s="159"/>
    </row>
    <row r="100" spans="1:22" x14ac:dyDescent="0.2">
      <c r="A100" s="159"/>
      <c r="B100" s="165"/>
      <c r="C100" s="184" t="s">
        <v>97</v>
      </c>
      <c r="D100" s="159"/>
      <c r="E100" s="159"/>
      <c r="F100" s="181"/>
      <c r="G100" s="168"/>
      <c r="H100" s="159"/>
      <c r="I100" s="159"/>
      <c r="J100" s="159"/>
      <c r="K100" s="159"/>
      <c r="L100" s="159"/>
      <c r="M100" s="159"/>
      <c r="N100" s="159"/>
      <c r="O100" s="159"/>
      <c r="P100" s="159"/>
      <c r="Q100" s="159"/>
      <c r="R100" s="159"/>
      <c r="S100" s="159"/>
      <c r="T100" s="159"/>
      <c r="U100" s="159"/>
      <c r="V100" s="159"/>
    </row>
    <row r="101" spans="1:22" x14ac:dyDescent="0.2">
      <c r="A101" s="159"/>
      <c r="B101" s="165"/>
      <c r="C101" s="159" t="s">
        <v>98</v>
      </c>
      <c r="D101" s="159"/>
      <c r="E101" s="33"/>
      <c r="F101" s="93">
        <f>IF(E101&lt;$E$98,0,(E101*(tab!$B$23/12)*12))</f>
        <v>0</v>
      </c>
      <c r="G101" s="168"/>
      <c r="H101" s="159"/>
      <c r="I101" s="159"/>
      <c r="J101" s="159"/>
      <c r="K101" s="159"/>
      <c r="L101" s="159"/>
      <c r="M101" s="159"/>
      <c r="N101" s="159"/>
      <c r="O101" s="159"/>
      <c r="P101" s="159"/>
      <c r="Q101" s="159"/>
      <c r="R101" s="159"/>
      <c r="S101" s="159"/>
      <c r="T101" s="159"/>
      <c r="U101" s="159"/>
      <c r="V101" s="159"/>
    </row>
    <row r="102" spans="1:22" x14ac:dyDescent="0.2">
      <c r="A102" s="159"/>
      <c r="B102" s="165"/>
      <c r="C102" s="159" t="s">
        <v>99</v>
      </c>
      <c r="D102" s="159"/>
      <c r="E102" s="33"/>
      <c r="F102" s="93">
        <f>IF(E102&lt;$E$98,0,(E102*(tab!$B$23/12)*10))</f>
        <v>0</v>
      </c>
      <c r="G102" s="168"/>
      <c r="H102" s="159"/>
      <c r="I102" s="159"/>
      <c r="J102" s="159"/>
      <c r="K102" s="159"/>
      <c r="L102" s="159"/>
      <c r="M102" s="159"/>
      <c r="N102" s="159"/>
      <c r="O102" s="159"/>
      <c r="P102" s="159"/>
      <c r="Q102" s="159"/>
      <c r="R102" s="159"/>
      <c r="S102" s="159"/>
      <c r="T102" s="159"/>
      <c r="U102" s="159"/>
      <c r="V102" s="159"/>
    </row>
    <row r="103" spans="1:22" x14ac:dyDescent="0.2">
      <c r="A103" s="159"/>
      <c r="B103" s="165"/>
      <c r="C103" s="159" t="s">
        <v>100</v>
      </c>
      <c r="D103" s="159"/>
      <c r="E103" s="33"/>
      <c r="F103" s="93">
        <f>IF(E103&lt;$E$98,0,(E103*(tab!$B$23/12)*9))</f>
        <v>0</v>
      </c>
      <c r="G103" s="168"/>
      <c r="H103" s="159"/>
      <c r="I103" s="159"/>
      <c r="J103" s="159"/>
      <c r="K103" s="159"/>
      <c r="L103" s="159"/>
      <c r="M103" s="159"/>
      <c r="N103" s="159"/>
      <c r="O103" s="159"/>
      <c r="P103" s="159"/>
      <c r="Q103" s="159"/>
      <c r="R103" s="159"/>
      <c r="S103" s="159"/>
      <c r="T103" s="159"/>
      <c r="U103" s="159"/>
      <c r="V103" s="159"/>
    </row>
    <row r="104" spans="1:22" x14ac:dyDescent="0.2">
      <c r="A104" s="159"/>
      <c r="B104" s="165"/>
      <c r="C104" s="159" t="s">
        <v>101</v>
      </c>
      <c r="D104" s="159"/>
      <c r="E104" s="33"/>
      <c r="F104" s="93">
        <f>IF(E104&lt;$E$98,0,(E104*(tab!$B$23/12)*8))</f>
        <v>0</v>
      </c>
      <c r="G104" s="168"/>
      <c r="H104" s="159"/>
      <c r="I104" s="159"/>
      <c r="J104" s="159"/>
      <c r="K104" s="159"/>
      <c r="L104" s="159"/>
      <c r="M104" s="159"/>
      <c r="N104" s="159"/>
      <c r="O104" s="159"/>
      <c r="P104" s="159"/>
      <c r="Q104" s="159"/>
      <c r="R104" s="159"/>
      <c r="S104" s="159"/>
      <c r="T104" s="159"/>
      <c r="U104" s="159"/>
      <c r="V104" s="159"/>
    </row>
    <row r="105" spans="1:22" x14ac:dyDescent="0.2">
      <c r="A105" s="159"/>
      <c r="B105" s="165"/>
      <c r="C105" s="159" t="s">
        <v>102</v>
      </c>
      <c r="D105" s="159"/>
      <c r="E105" s="33"/>
      <c r="F105" s="93">
        <f>IF(E105&lt;$E$98,0,(E105*(tab!$B$23/12)*7))</f>
        <v>0</v>
      </c>
      <c r="G105" s="168"/>
      <c r="H105" s="159"/>
      <c r="I105" s="159"/>
      <c r="J105" s="159"/>
      <c r="K105" s="159"/>
      <c r="L105" s="159"/>
      <c r="M105" s="159"/>
      <c r="N105" s="159"/>
      <c r="O105" s="159"/>
      <c r="P105" s="159"/>
      <c r="Q105" s="159"/>
      <c r="R105" s="159"/>
      <c r="S105" s="159"/>
      <c r="T105" s="159"/>
      <c r="U105" s="159"/>
      <c r="V105" s="159"/>
    </row>
    <row r="106" spans="1:22" x14ac:dyDescent="0.2">
      <c r="A106" s="159"/>
      <c r="B106" s="165"/>
      <c r="C106" s="159" t="s">
        <v>103</v>
      </c>
      <c r="D106" s="159"/>
      <c r="E106" s="33"/>
      <c r="F106" s="93">
        <f>IF(E106&lt;$E$98,0,(E106*(tab!$B$23/12)*6))</f>
        <v>0</v>
      </c>
      <c r="G106" s="168"/>
      <c r="H106" s="159"/>
      <c r="I106" s="159"/>
      <c r="J106" s="159"/>
      <c r="K106" s="159"/>
      <c r="L106" s="159"/>
      <c r="M106" s="159"/>
      <c r="N106" s="159"/>
      <c r="O106" s="159"/>
      <c r="P106" s="159"/>
      <c r="Q106" s="159"/>
      <c r="R106" s="159"/>
      <c r="S106" s="159"/>
      <c r="T106" s="159"/>
      <c r="U106" s="159"/>
      <c r="V106" s="159"/>
    </row>
    <row r="107" spans="1:22" x14ac:dyDescent="0.2">
      <c r="A107" s="159"/>
      <c r="B107" s="165"/>
      <c r="C107" s="159" t="s">
        <v>104</v>
      </c>
      <c r="D107" s="159"/>
      <c r="E107" s="33"/>
      <c r="F107" s="93">
        <f>IF(E107&lt;$E$98,0,(E107*(tab!$B$23/12)*5))</f>
        <v>0</v>
      </c>
      <c r="G107" s="168"/>
      <c r="H107" s="159"/>
      <c r="I107" s="159"/>
      <c r="J107" s="159"/>
      <c r="K107" s="159"/>
      <c r="L107" s="159"/>
      <c r="M107" s="159"/>
      <c r="N107" s="159"/>
      <c r="O107" s="159"/>
      <c r="P107" s="159"/>
      <c r="Q107" s="159"/>
      <c r="R107" s="159"/>
      <c r="S107" s="159"/>
      <c r="T107" s="159"/>
      <c r="U107" s="159"/>
      <c r="V107" s="159"/>
    </row>
    <row r="108" spans="1:22" x14ac:dyDescent="0.2">
      <c r="A108" s="159"/>
      <c r="B108" s="165"/>
      <c r="C108" s="159" t="s">
        <v>105</v>
      </c>
      <c r="D108" s="159"/>
      <c r="E108" s="33"/>
      <c r="F108" s="93">
        <f>IF(E108&lt;$E$98,0,(E108*(tab!$B$23/12)*4))</f>
        <v>0</v>
      </c>
      <c r="G108" s="168"/>
      <c r="H108" s="159"/>
      <c r="I108" s="159"/>
      <c r="J108" s="159"/>
      <c r="K108" s="159"/>
      <c r="L108" s="159"/>
      <c r="M108" s="159"/>
      <c r="N108" s="159"/>
      <c r="O108" s="159"/>
      <c r="P108" s="159"/>
      <c r="Q108" s="159"/>
      <c r="R108" s="159"/>
      <c r="S108" s="159"/>
      <c r="T108" s="159"/>
      <c r="U108" s="159"/>
      <c r="V108" s="159"/>
    </row>
    <row r="109" spans="1:22" x14ac:dyDescent="0.2">
      <c r="A109" s="159"/>
      <c r="B109" s="165"/>
      <c r="C109" s="159" t="s">
        <v>106</v>
      </c>
      <c r="D109" s="159"/>
      <c r="E109" s="33"/>
      <c r="F109" s="93">
        <f>IF(E109&lt;$E$98,0,(E109*(tab!$B$23/12)*3))</f>
        <v>0</v>
      </c>
      <c r="G109" s="168"/>
      <c r="H109" s="159"/>
      <c r="I109" s="159"/>
      <c r="J109" s="159"/>
      <c r="K109" s="159"/>
      <c r="L109" s="159"/>
      <c r="M109" s="159"/>
      <c r="N109" s="159"/>
      <c r="O109" s="159"/>
      <c r="P109" s="159"/>
      <c r="Q109" s="159"/>
      <c r="R109" s="159"/>
      <c r="S109" s="159"/>
      <c r="T109" s="159"/>
      <c r="U109" s="159"/>
      <c r="V109" s="159"/>
    </row>
    <row r="110" spans="1:22" x14ac:dyDescent="0.2">
      <c r="A110" s="159"/>
      <c r="B110" s="165"/>
      <c r="C110" s="159" t="s">
        <v>107</v>
      </c>
      <c r="D110" s="159"/>
      <c r="E110" s="33"/>
      <c r="F110" s="93">
        <f>IF(E110&lt;$E$98,0,(E110*(tab!$B$23/12)*2))</f>
        <v>0</v>
      </c>
      <c r="G110" s="168"/>
      <c r="H110" s="159"/>
      <c r="I110" s="159"/>
      <c r="J110" s="159"/>
      <c r="K110" s="159"/>
      <c r="L110" s="159"/>
      <c r="M110" s="159"/>
      <c r="N110" s="159"/>
      <c r="O110" s="159"/>
      <c r="P110" s="159"/>
      <c r="Q110" s="159"/>
      <c r="R110" s="159"/>
      <c r="S110" s="159"/>
      <c r="T110" s="159"/>
      <c r="U110" s="159"/>
      <c r="V110" s="159"/>
    </row>
    <row r="111" spans="1:22" x14ac:dyDescent="0.2">
      <c r="A111" s="159"/>
      <c r="B111" s="165"/>
      <c r="C111" s="159" t="s">
        <v>108</v>
      </c>
      <c r="D111" s="159"/>
      <c r="E111" s="33"/>
      <c r="F111" s="93">
        <f>IF(E111&lt;$E$98,0,(E111*(tab!$B$23/12)*1))</f>
        <v>0</v>
      </c>
      <c r="G111" s="168"/>
      <c r="H111" s="159"/>
      <c r="I111" s="159"/>
      <c r="J111" s="159"/>
      <c r="K111" s="159"/>
      <c r="L111" s="159"/>
      <c r="M111" s="159"/>
      <c r="N111" s="159"/>
      <c r="O111" s="159"/>
      <c r="P111" s="159"/>
      <c r="Q111" s="159"/>
      <c r="R111" s="159"/>
      <c r="S111" s="159"/>
      <c r="T111" s="159"/>
      <c r="U111" s="159"/>
      <c r="V111" s="159"/>
    </row>
    <row r="112" spans="1:22" x14ac:dyDescent="0.2">
      <c r="A112" s="159"/>
      <c r="B112" s="165"/>
      <c r="C112" s="174" t="s">
        <v>87</v>
      </c>
      <c r="D112" s="159"/>
      <c r="E112" s="159"/>
      <c r="F112" s="179">
        <f>SUM(F101:F111)</f>
        <v>0</v>
      </c>
      <c r="G112" s="168"/>
      <c r="H112" s="159"/>
      <c r="I112" s="159"/>
      <c r="J112" s="159"/>
      <c r="K112" s="159"/>
      <c r="L112" s="159"/>
      <c r="M112" s="159"/>
      <c r="N112" s="159"/>
      <c r="O112" s="159"/>
      <c r="P112" s="159"/>
      <c r="Q112" s="159"/>
      <c r="R112" s="159"/>
      <c r="S112" s="159"/>
      <c r="T112" s="159"/>
      <c r="U112" s="159"/>
      <c r="V112" s="159"/>
    </row>
    <row r="113" spans="1:22" x14ac:dyDescent="0.2">
      <c r="A113" s="159"/>
      <c r="B113" s="185"/>
      <c r="C113" s="187"/>
      <c r="D113" s="187"/>
      <c r="E113" s="187"/>
      <c r="F113" s="187"/>
      <c r="G113" s="188"/>
      <c r="H113" s="159"/>
      <c r="I113" s="159"/>
      <c r="J113" s="159"/>
      <c r="K113" s="159"/>
      <c r="L113" s="159"/>
      <c r="M113" s="159"/>
      <c r="N113" s="159"/>
      <c r="O113" s="159"/>
      <c r="P113" s="159"/>
      <c r="Q113" s="159"/>
      <c r="R113" s="159"/>
      <c r="S113" s="159"/>
      <c r="T113" s="159"/>
      <c r="U113" s="159"/>
      <c r="V113" s="159"/>
    </row>
    <row r="114" spans="1:22" x14ac:dyDescent="0.2">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row>
    <row r="115" spans="1:22" x14ac:dyDescent="0.2">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row>
    <row r="116" spans="1:22" x14ac:dyDescent="0.2">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row>
  </sheetData>
  <sheetProtection algorithmName="SHA-512" hashValue="gsaa9IPFoQ7LF8m1sCHWh/xOqqsMj55AXQja/BkFRpMMMpF6B8HGn6pbNh/ajxwB4zBh+gI6m68BtAd9cKpbxw==" saltValue="/pTh02HUIPDJi4z3XxLAsg==" spinCount="100000" sheet="1" objects="1" scenarios="1"/>
  <dataValidations count="1">
    <dataValidation type="list" allowBlank="1" showInputMessage="1" showErrorMessage="1" sqref="E34" xr:uid="{8042C535-4C12-4059-B743-7458E6B9B8FD}">
      <formula1>"ja,nee"</formula1>
    </dataValidation>
  </dataValidations>
  <pageMargins left="0.7" right="0.7" top="0.75" bottom="0.75" header="0.3" footer="0.3"/>
  <pageSetup paperSize="9" scale="65" orientation="portrait" r:id="rId1"/>
  <rowBreaks count="1" manualBreakCount="1">
    <brk id="54" min="1" max="6"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2A6DA-C688-44DE-A2FF-2519D4492460}">
  <dimension ref="B2:G15"/>
  <sheetViews>
    <sheetView zoomScale="85" zoomScaleNormal="85" workbookViewId="0">
      <selection activeCell="M34" sqref="M34"/>
    </sheetView>
  </sheetViews>
  <sheetFormatPr defaultColWidth="8.7109375" defaultRowHeight="12.75" x14ac:dyDescent="0.2"/>
  <cols>
    <col min="1" max="2" width="2.5703125" style="1" customWidth="1"/>
    <col min="3" max="3" width="56.140625" style="1" customWidth="1"/>
    <col min="4" max="4" width="1.5703125" style="1" customWidth="1"/>
    <col min="5" max="6" width="14.7109375" style="1" customWidth="1"/>
    <col min="7" max="7" width="2.5703125" style="1" customWidth="1"/>
    <col min="8" max="10" width="14.7109375" style="1" customWidth="1"/>
    <col min="11" max="12" width="2.5703125" style="1" customWidth="1"/>
    <col min="13" max="16384" width="8.7109375" style="1"/>
  </cols>
  <sheetData>
    <row r="2" spans="2:7" ht="15.75" x14ac:dyDescent="0.25">
      <c r="B2" s="8" t="s">
        <v>112</v>
      </c>
    </row>
    <row r="4" spans="2:7" x14ac:dyDescent="0.2">
      <c r="B4" s="15"/>
      <c r="C4" s="16"/>
      <c r="D4" s="16"/>
      <c r="E4" s="16"/>
      <c r="F4" s="16"/>
      <c r="G4" s="17"/>
    </row>
    <row r="5" spans="2:7" x14ac:dyDescent="0.2">
      <c r="B5" s="18"/>
      <c r="C5" s="23" t="s">
        <v>113</v>
      </c>
      <c r="E5" s="24">
        <f>tab!B2</f>
        <v>2024</v>
      </c>
      <c r="G5" s="19"/>
    </row>
    <row r="6" spans="2:7" x14ac:dyDescent="0.2">
      <c r="B6" s="18"/>
      <c r="G6" s="19"/>
    </row>
    <row r="7" spans="2:7" x14ac:dyDescent="0.2">
      <c r="B7" s="18"/>
      <c r="C7" s="1" t="s">
        <v>114</v>
      </c>
      <c r="E7" s="33">
        <v>0</v>
      </c>
      <c r="F7" s="36">
        <f>(E7*tab!$B$37)*3/12</f>
        <v>0</v>
      </c>
      <c r="G7" s="19"/>
    </row>
    <row r="8" spans="2:7" x14ac:dyDescent="0.2">
      <c r="B8" s="18"/>
      <c r="C8" s="1" t="s">
        <v>115</v>
      </c>
      <c r="E8" s="33">
        <v>10</v>
      </c>
      <c r="F8" s="36">
        <f>(E8*tab!$B$37)*3/12</f>
        <v>10138.275</v>
      </c>
      <c r="G8" s="19"/>
    </row>
    <row r="9" spans="2:7" x14ac:dyDescent="0.2">
      <c r="B9" s="18"/>
      <c r="C9" s="1" t="s">
        <v>116</v>
      </c>
      <c r="E9" s="33">
        <v>0</v>
      </c>
      <c r="F9" s="36">
        <f>(E9*tab!$B$37)*3/12</f>
        <v>0</v>
      </c>
      <c r="G9" s="19"/>
    </row>
    <row r="10" spans="2:7" x14ac:dyDescent="0.2">
      <c r="B10" s="18"/>
      <c r="C10" s="1" t="s">
        <v>117</v>
      </c>
      <c r="E10" s="33">
        <v>0</v>
      </c>
      <c r="F10" s="36">
        <f>(E10*tab!$B$37)*3/12</f>
        <v>0</v>
      </c>
      <c r="G10" s="19"/>
    </row>
    <row r="11" spans="2:7" x14ac:dyDescent="0.2">
      <c r="B11" s="18"/>
      <c r="F11" s="36"/>
      <c r="G11" s="19"/>
    </row>
    <row r="12" spans="2:7" x14ac:dyDescent="0.2">
      <c r="B12" s="18"/>
      <c r="C12" s="1" t="s">
        <v>85</v>
      </c>
      <c r="E12" s="33" t="s">
        <v>86</v>
      </c>
      <c r="F12" s="40">
        <f>IF(E12="nee",0,tab!B38)</f>
        <v>15640.56</v>
      </c>
      <c r="G12" s="19"/>
    </row>
    <row r="13" spans="2:7" x14ac:dyDescent="0.2">
      <c r="B13" s="18"/>
      <c r="F13" s="36"/>
      <c r="G13" s="19"/>
    </row>
    <row r="14" spans="2:7" x14ac:dyDescent="0.2">
      <c r="B14" s="18"/>
      <c r="C14" s="3" t="s">
        <v>87</v>
      </c>
      <c r="D14" s="3"/>
      <c r="E14" s="3"/>
      <c r="F14" s="37">
        <f>SUM(F7:F12)</f>
        <v>25778.834999999999</v>
      </c>
      <c r="G14" s="19"/>
    </row>
    <row r="15" spans="2:7" x14ac:dyDescent="0.2">
      <c r="B15" s="20"/>
      <c r="C15" s="21"/>
      <c r="D15" s="21"/>
      <c r="E15" s="21"/>
      <c r="F15" s="21"/>
      <c r="G15" s="22"/>
    </row>
  </sheetData>
  <sheetProtection sheet="1" objects="1" scenarios="1"/>
  <dataValidations count="1">
    <dataValidation type="list" allowBlank="1" showInputMessage="1" showErrorMessage="1" sqref="E12" xr:uid="{FB04711E-CDAF-43A7-BC57-F6922E41C2D3}">
      <formula1>"ja,nee"</formula1>
    </dataValidation>
  </dataValidations>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08521-9427-4FEB-8702-D7C81D5D912A}">
  <sheetPr>
    <tabColor theme="2" tint="-9.9978637043366805E-2"/>
  </sheetPr>
  <dimension ref="A1:J89"/>
  <sheetViews>
    <sheetView zoomScale="85" zoomScaleNormal="85" zoomScaleSheetLayoutView="85" workbookViewId="0">
      <selection activeCell="P29" sqref="P29"/>
    </sheetView>
  </sheetViews>
  <sheetFormatPr defaultColWidth="8.7109375" defaultRowHeight="12.75" x14ac:dyDescent="0.2"/>
  <cols>
    <col min="1" max="1" width="40.7109375" style="1" customWidth="1"/>
    <col min="2" max="6" width="12.5703125" style="1" customWidth="1"/>
    <col min="7" max="7" width="2.5703125" style="1" customWidth="1"/>
    <col min="8" max="8" width="8.7109375" style="1"/>
    <col min="9" max="10" width="12.5703125" style="1" customWidth="1"/>
    <col min="11" max="16384" width="8.7109375" style="1"/>
  </cols>
  <sheetData>
    <row r="1" spans="1:10" ht="25.5" x14ac:dyDescent="0.2">
      <c r="A1" s="148" t="s">
        <v>118</v>
      </c>
      <c r="B1" s="72" t="s">
        <v>189</v>
      </c>
      <c r="C1" s="191" t="s">
        <v>216</v>
      </c>
      <c r="D1" s="191" t="s">
        <v>216</v>
      </c>
      <c r="E1" s="191" t="s">
        <v>216</v>
      </c>
      <c r="F1" s="191" t="s">
        <v>216</v>
      </c>
      <c r="G1" s="28"/>
      <c r="H1" s="28"/>
      <c r="I1" s="72" t="s">
        <v>189</v>
      </c>
      <c r="J1" s="72" t="s">
        <v>190</v>
      </c>
    </row>
    <row r="2" spans="1:10" ht="15" customHeight="1" x14ac:dyDescent="0.2">
      <c r="B2" s="149">
        <v>2024</v>
      </c>
      <c r="C2" s="149">
        <f>B2+1</f>
        <v>2025</v>
      </c>
      <c r="D2" s="149">
        <f>C2+1</f>
        <v>2026</v>
      </c>
      <c r="E2" s="149">
        <f>D2+1</f>
        <v>2027</v>
      </c>
      <c r="F2" s="149">
        <f>E2+1</f>
        <v>2028</v>
      </c>
      <c r="G2" s="66"/>
      <c r="H2" s="66"/>
      <c r="I2" s="147">
        <v>2023</v>
      </c>
      <c r="J2" s="157"/>
    </row>
    <row r="3" spans="1:10" x14ac:dyDescent="0.2">
      <c r="A3" s="10" t="s">
        <v>119</v>
      </c>
      <c r="B3" s="74">
        <v>45226</v>
      </c>
      <c r="C3" s="34"/>
      <c r="D3" s="34"/>
      <c r="E3" s="34"/>
      <c r="F3" s="34"/>
      <c r="I3" s="73">
        <v>44834</v>
      </c>
      <c r="J3" s="74">
        <v>45188</v>
      </c>
    </row>
    <row r="4" spans="1:10" x14ac:dyDescent="0.2">
      <c r="A4" s="10" t="s">
        <v>120</v>
      </c>
      <c r="B4" s="9" t="str">
        <f>"1-2-"&amp;B2-1</f>
        <v>1-2-2023</v>
      </c>
      <c r="C4" s="9" t="str">
        <f>"1-2-"&amp;C2-1</f>
        <v>1-2-2024</v>
      </c>
      <c r="D4" s="9" t="str">
        <f>"1-2-"&amp;D2-1</f>
        <v>1-2-2025</v>
      </c>
      <c r="E4" s="9" t="str">
        <f>"1-2-"&amp;E2-1</f>
        <v>1-2-2026</v>
      </c>
      <c r="F4" s="9" t="str">
        <f>"1-2-"&amp;F2-1</f>
        <v>1-2-2027</v>
      </c>
      <c r="I4" s="75">
        <v>44593</v>
      </c>
      <c r="J4" s="75">
        <f>I4</f>
        <v>44593</v>
      </c>
    </row>
    <row r="5" spans="1:10" x14ac:dyDescent="0.2">
      <c r="A5" s="10"/>
      <c r="B5" s="150">
        <f>-0.14%*10.85%</f>
        <v>-1.5190000000000003E-4</v>
      </c>
      <c r="C5" s="9"/>
      <c r="D5" s="9"/>
      <c r="E5" s="9"/>
      <c r="F5" s="9"/>
      <c r="I5" s="150">
        <f>11.7%*10.85%</f>
        <v>1.2694499999999999E-2</v>
      </c>
      <c r="J5" s="150">
        <f>(5.70639341268793%*89.15%) + (11.7%*10.85%)</f>
        <v>6.3566997274112899E-2</v>
      </c>
    </row>
    <row r="6" spans="1:10" x14ac:dyDescent="0.2">
      <c r="I6" s="75"/>
      <c r="J6" s="75"/>
    </row>
    <row r="7" spans="1:10" s="3" customFormat="1" x14ac:dyDescent="0.2">
      <c r="A7" s="151" t="s">
        <v>121</v>
      </c>
      <c r="B7" s="63">
        <v>2024</v>
      </c>
      <c r="C7" s="63">
        <v>2025</v>
      </c>
      <c r="D7" s="63">
        <v>2026</v>
      </c>
      <c r="E7" s="63">
        <v>2027</v>
      </c>
      <c r="F7" s="63">
        <v>2028</v>
      </c>
      <c r="G7" s="5"/>
      <c r="I7" s="146">
        <v>2023</v>
      </c>
      <c r="J7" s="146"/>
    </row>
    <row r="8" spans="1:10" x14ac:dyDescent="0.2">
      <c r="A8" s="152" t="s">
        <v>122</v>
      </c>
      <c r="B8" s="64">
        <v>6091.73</v>
      </c>
      <c r="C8" s="153">
        <f>B8</f>
        <v>6091.73</v>
      </c>
      <c r="D8" s="153">
        <f>C8</f>
        <v>6091.73</v>
      </c>
      <c r="E8" s="153">
        <f>D8</f>
        <v>6091.73</v>
      </c>
      <c r="F8" s="153">
        <f>E8</f>
        <v>6091.73</v>
      </c>
      <c r="G8" s="6"/>
      <c r="I8" s="64">
        <v>5801.77</v>
      </c>
      <c r="J8" s="64">
        <v>6093.05</v>
      </c>
    </row>
    <row r="9" spans="1:10" x14ac:dyDescent="0.2">
      <c r="A9" s="152" t="s">
        <v>123</v>
      </c>
      <c r="B9" s="64">
        <v>91727.76</v>
      </c>
      <c r="C9" s="153">
        <f t="shared" ref="C9:C19" si="0">B9</f>
        <v>91727.76</v>
      </c>
      <c r="D9" s="153">
        <f t="shared" ref="D9:D19" si="1">C9</f>
        <v>91727.76</v>
      </c>
      <c r="E9" s="153">
        <f t="shared" ref="E9:E19" si="2">D9</f>
        <v>91727.76</v>
      </c>
      <c r="F9" s="153">
        <f t="shared" ref="F9:F19" si="3">E9</f>
        <v>91727.76</v>
      </c>
      <c r="G9" s="6"/>
      <c r="I9" s="64">
        <v>85496.320000000007</v>
      </c>
      <c r="J9" s="64">
        <v>89806.35</v>
      </c>
    </row>
    <row r="10" spans="1:10" x14ac:dyDescent="0.2">
      <c r="A10" s="152" t="s">
        <v>124</v>
      </c>
      <c r="B10" s="64">
        <v>111257.87</v>
      </c>
      <c r="C10" s="153">
        <f t="shared" si="0"/>
        <v>111257.87</v>
      </c>
      <c r="D10" s="153">
        <f t="shared" si="1"/>
        <v>111257.87</v>
      </c>
      <c r="E10" s="153">
        <f t="shared" si="2"/>
        <v>111257.87</v>
      </c>
      <c r="F10" s="153">
        <f t="shared" si="3"/>
        <v>111257.87</v>
      </c>
      <c r="G10" s="6"/>
      <c r="I10" s="64">
        <v>104095.1</v>
      </c>
      <c r="J10" s="64">
        <v>109339.43</v>
      </c>
    </row>
    <row r="11" spans="1:10" x14ac:dyDescent="0.2">
      <c r="A11" s="152" t="s">
        <v>125</v>
      </c>
      <c r="B11" s="64">
        <v>247028</v>
      </c>
      <c r="C11" s="153">
        <f t="shared" si="0"/>
        <v>247028</v>
      </c>
      <c r="D11" s="153">
        <f t="shared" si="1"/>
        <v>247028</v>
      </c>
      <c r="E11" s="153">
        <f t="shared" si="2"/>
        <v>247028</v>
      </c>
      <c r="F11" s="153">
        <f t="shared" si="3"/>
        <v>247028</v>
      </c>
      <c r="G11" s="6"/>
      <c r="I11" s="64">
        <v>235248.04</v>
      </c>
      <c r="J11" s="64">
        <v>247065.55</v>
      </c>
    </row>
    <row r="12" spans="1:10" x14ac:dyDescent="0.2">
      <c r="A12" s="152" t="s">
        <v>126</v>
      </c>
      <c r="B12" s="64">
        <v>1646.85</v>
      </c>
      <c r="C12" s="153">
        <f t="shared" si="0"/>
        <v>1646.85</v>
      </c>
      <c r="D12" s="153">
        <f t="shared" si="1"/>
        <v>1646.85</v>
      </c>
      <c r="E12" s="153">
        <f t="shared" si="2"/>
        <v>1646.85</v>
      </c>
      <c r="F12" s="153"/>
      <c r="G12" s="6"/>
      <c r="I12" s="64">
        <v>1568.32</v>
      </c>
      <c r="J12" s="64">
        <v>1647.1</v>
      </c>
    </row>
    <row r="13" spans="1:10" x14ac:dyDescent="0.2">
      <c r="A13" s="152" t="s">
        <v>127</v>
      </c>
      <c r="B13" s="64">
        <v>436755.42</v>
      </c>
      <c r="C13" s="153">
        <f t="shared" si="0"/>
        <v>436755.42</v>
      </c>
      <c r="D13" s="153">
        <f t="shared" si="1"/>
        <v>436755.42</v>
      </c>
      <c r="E13" s="153">
        <f t="shared" si="2"/>
        <v>436755.42</v>
      </c>
      <c r="F13" s="153">
        <f t="shared" ref="F13:F23" si="4">E13</f>
        <v>436755.42</v>
      </c>
      <c r="G13" s="6"/>
      <c r="I13" s="64">
        <v>415927.98</v>
      </c>
      <c r="J13" s="64">
        <v>436821.82</v>
      </c>
    </row>
    <row r="14" spans="1:10" x14ac:dyDescent="0.2">
      <c r="A14" s="152" t="s">
        <v>128</v>
      </c>
      <c r="B14" s="64">
        <v>19319.79</v>
      </c>
      <c r="C14" s="153">
        <f t="shared" si="0"/>
        <v>19319.79</v>
      </c>
      <c r="D14" s="153">
        <f t="shared" si="1"/>
        <v>19319.79</v>
      </c>
      <c r="E14" s="153">
        <f t="shared" si="2"/>
        <v>19319.79</v>
      </c>
      <c r="F14" s="153">
        <f t="shared" si="4"/>
        <v>19319.79</v>
      </c>
      <c r="G14" s="6"/>
      <c r="I14" s="64">
        <v>18398.490000000002</v>
      </c>
      <c r="J14" s="64">
        <v>19322.73</v>
      </c>
    </row>
    <row r="15" spans="1:10" x14ac:dyDescent="0.2">
      <c r="A15" s="152" t="s">
        <v>129</v>
      </c>
      <c r="B15" s="64">
        <v>751.17</v>
      </c>
      <c r="C15" s="153">
        <f t="shared" si="0"/>
        <v>751.17</v>
      </c>
      <c r="D15" s="153">
        <f t="shared" si="1"/>
        <v>751.17</v>
      </c>
      <c r="E15" s="153">
        <f t="shared" si="2"/>
        <v>751.17</v>
      </c>
      <c r="F15" s="153">
        <f t="shared" si="4"/>
        <v>751.17</v>
      </c>
      <c r="G15" s="6"/>
      <c r="I15" s="64">
        <v>711.63</v>
      </c>
      <c r="J15" s="64">
        <v>747.86</v>
      </c>
    </row>
    <row r="16" spans="1:10" x14ac:dyDescent="0.2">
      <c r="A16" s="152" t="s">
        <v>130</v>
      </c>
      <c r="B16" s="64">
        <v>129.53</v>
      </c>
      <c r="C16" s="153">
        <f t="shared" si="0"/>
        <v>129.53</v>
      </c>
      <c r="D16" s="153">
        <f t="shared" si="1"/>
        <v>129.53</v>
      </c>
      <c r="E16" s="153">
        <f t="shared" si="2"/>
        <v>129.53</v>
      </c>
      <c r="F16" s="153">
        <f t="shared" si="4"/>
        <v>129.53</v>
      </c>
      <c r="G16" s="6"/>
      <c r="I16" s="64">
        <v>123.36</v>
      </c>
      <c r="J16" s="64">
        <v>129.55000000000001</v>
      </c>
    </row>
    <row r="17" spans="1:10" x14ac:dyDescent="0.2">
      <c r="A17" s="152" t="s">
        <v>131</v>
      </c>
      <c r="B17" s="64">
        <v>22.65</v>
      </c>
      <c r="C17" s="153">
        <f t="shared" si="0"/>
        <v>22.65</v>
      </c>
      <c r="D17" s="153">
        <f t="shared" si="1"/>
        <v>22.65</v>
      </c>
      <c r="E17" s="153">
        <f t="shared" si="2"/>
        <v>22.65</v>
      </c>
      <c r="F17" s="153">
        <f t="shared" si="4"/>
        <v>22.65</v>
      </c>
      <c r="G17" s="6"/>
      <c r="I17" s="64">
        <v>21.57</v>
      </c>
      <c r="J17" s="64">
        <v>22.65</v>
      </c>
    </row>
    <row r="18" spans="1:10" x14ac:dyDescent="0.2">
      <c r="A18" s="152" t="s">
        <v>132</v>
      </c>
      <c r="B18" s="64">
        <v>38114.04</v>
      </c>
      <c r="C18" s="153">
        <f t="shared" si="0"/>
        <v>38114.04</v>
      </c>
      <c r="D18" s="153">
        <f t="shared" si="1"/>
        <v>38114.04</v>
      </c>
      <c r="E18" s="153">
        <f t="shared" si="2"/>
        <v>38114.04</v>
      </c>
      <c r="F18" s="153">
        <f t="shared" si="4"/>
        <v>38114.04</v>
      </c>
      <c r="G18" s="6"/>
      <c r="I18" s="64">
        <v>36296.5</v>
      </c>
      <c r="J18" s="64">
        <v>38119.83</v>
      </c>
    </row>
    <row r="19" spans="1:10" x14ac:dyDescent="0.2">
      <c r="A19" s="152" t="s">
        <v>133</v>
      </c>
      <c r="B19" s="64">
        <v>682.86</v>
      </c>
      <c r="C19" s="153">
        <f t="shared" si="0"/>
        <v>682.86</v>
      </c>
      <c r="D19" s="153">
        <f t="shared" si="1"/>
        <v>682.86</v>
      </c>
      <c r="E19" s="153">
        <f t="shared" si="2"/>
        <v>682.86</v>
      </c>
      <c r="F19" s="153">
        <f t="shared" si="4"/>
        <v>682.86</v>
      </c>
      <c r="G19" s="6"/>
      <c r="I19" s="64">
        <v>650.29</v>
      </c>
      <c r="J19" s="64">
        <v>682.96</v>
      </c>
    </row>
    <row r="20" spans="1:10" x14ac:dyDescent="0.2">
      <c r="A20" s="152" t="s">
        <v>134</v>
      </c>
      <c r="B20" s="65">
        <f t="shared" ref="B20:F20" si="5">B8</f>
        <v>6091.73</v>
      </c>
      <c r="C20" s="65">
        <f t="shared" si="5"/>
        <v>6091.73</v>
      </c>
      <c r="D20" s="65">
        <f t="shared" si="5"/>
        <v>6091.73</v>
      </c>
      <c r="E20" s="65">
        <f t="shared" si="5"/>
        <v>6091.73</v>
      </c>
      <c r="F20" s="65">
        <f t="shared" si="5"/>
        <v>6091.73</v>
      </c>
      <c r="G20" s="6"/>
      <c r="I20" s="65">
        <f t="shared" ref="I20:J20" si="6">I8</f>
        <v>5801.77</v>
      </c>
      <c r="J20" s="65">
        <f t="shared" si="6"/>
        <v>6093.05</v>
      </c>
    </row>
    <row r="21" spans="1:10" x14ac:dyDescent="0.2">
      <c r="A21" s="152" t="s">
        <v>140</v>
      </c>
      <c r="B21" s="64">
        <v>3031.46</v>
      </c>
      <c r="C21" s="153">
        <f t="shared" ref="C21:C28" si="7">B21</f>
        <v>3031.46</v>
      </c>
      <c r="D21" s="153">
        <f t="shared" ref="D21:D28" si="8">C21</f>
        <v>3031.46</v>
      </c>
      <c r="E21" s="153">
        <f t="shared" ref="E21:E28" si="9">D21</f>
        <v>3031.46</v>
      </c>
      <c r="F21" s="153">
        <f t="shared" ref="F21:F28" si="10">E21</f>
        <v>3031.46</v>
      </c>
      <c r="G21" s="6"/>
      <c r="I21" s="64">
        <v>2886.9</v>
      </c>
      <c r="J21" s="64">
        <v>3031.92</v>
      </c>
    </row>
    <row r="22" spans="1:10" x14ac:dyDescent="0.2">
      <c r="A22" s="152" t="s">
        <v>141</v>
      </c>
      <c r="B22" s="64">
        <v>4083.48</v>
      </c>
      <c r="C22" s="153">
        <f t="shared" si="7"/>
        <v>4083.48</v>
      </c>
      <c r="D22" s="153">
        <f t="shared" si="8"/>
        <v>4083.48</v>
      </c>
      <c r="E22" s="153">
        <f t="shared" si="9"/>
        <v>4083.48</v>
      </c>
      <c r="F22" s="153">
        <f t="shared" si="10"/>
        <v>4083.48</v>
      </c>
      <c r="G22" s="6"/>
      <c r="I22" s="64">
        <v>3888.75</v>
      </c>
      <c r="J22" s="64">
        <v>4084.1</v>
      </c>
    </row>
    <row r="23" spans="1:10" x14ac:dyDescent="0.2">
      <c r="A23" s="152" t="s">
        <v>142</v>
      </c>
      <c r="B23" s="64">
        <v>0</v>
      </c>
      <c r="C23" s="153">
        <f t="shared" si="7"/>
        <v>0</v>
      </c>
      <c r="D23" s="153">
        <f t="shared" si="8"/>
        <v>0</v>
      </c>
      <c r="E23" s="153">
        <f t="shared" si="9"/>
        <v>0</v>
      </c>
      <c r="F23" s="153">
        <f t="shared" si="10"/>
        <v>0</v>
      </c>
      <c r="G23" s="6"/>
      <c r="I23" s="64">
        <v>0</v>
      </c>
      <c r="J23" s="64">
        <v>0</v>
      </c>
    </row>
    <row r="24" spans="1:10" x14ac:dyDescent="0.2">
      <c r="A24" s="152" t="s">
        <v>135</v>
      </c>
      <c r="B24" s="64">
        <v>13053.33</v>
      </c>
      <c r="C24" s="153">
        <f t="shared" si="7"/>
        <v>13053.33</v>
      </c>
      <c r="D24" s="153">
        <f t="shared" si="8"/>
        <v>13053.33</v>
      </c>
      <c r="E24" s="153">
        <f t="shared" si="9"/>
        <v>13053.33</v>
      </c>
      <c r="F24" s="153">
        <f t="shared" si="10"/>
        <v>13053.33</v>
      </c>
      <c r="G24" s="6"/>
      <c r="I24" s="64">
        <v>12430.85</v>
      </c>
      <c r="J24" s="64">
        <v>13055.31</v>
      </c>
    </row>
    <row r="25" spans="1:10" x14ac:dyDescent="0.2">
      <c r="A25" s="152" t="s">
        <v>136</v>
      </c>
      <c r="B25" s="64">
        <v>4055.31</v>
      </c>
      <c r="C25" s="153">
        <f t="shared" si="7"/>
        <v>4055.31</v>
      </c>
      <c r="D25" s="153">
        <f t="shared" si="8"/>
        <v>4055.31</v>
      </c>
      <c r="E25" s="153">
        <f t="shared" si="9"/>
        <v>4055.31</v>
      </c>
      <c r="F25" s="153">
        <f t="shared" si="10"/>
        <v>4055.31</v>
      </c>
      <c r="G25" s="6"/>
      <c r="I25" s="64">
        <v>3861.93</v>
      </c>
      <c r="J25" s="64">
        <v>4055.93</v>
      </c>
    </row>
    <row r="26" spans="1:10" x14ac:dyDescent="0.2">
      <c r="A26" s="152" t="s">
        <v>137</v>
      </c>
      <c r="B26" s="64">
        <v>15640.56</v>
      </c>
      <c r="C26" s="153">
        <f t="shared" si="7"/>
        <v>15640.56</v>
      </c>
      <c r="D26" s="153">
        <f t="shared" si="8"/>
        <v>15640.56</v>
      </c>
      <c r="E26" s="153">
        <f t="shared" si="9"/>
        <v>15640.56</v>
      </c>
      <c r="F26" s="153">
        <f t="shared" si="10"/>
        <v>15640.56</v>
      </c>
      <c r="G26" s="6"/>
      <c r="I26" s="64">
        <v>14894.72</v>
      </c>
      <c r="J26" s="64">
        <v>15642.94</v>
      </c>
    </row>
    <row r="27" spans="1:10" x14ac:dyDescent="0.2">
      <c r="A27" s="152" t="s">
        <v>138</v>
      </c>
      <c r="B27" s="64">
        <v>1963.04</v>
      </c>
      <c r="C27" s="153">
        <f t="shared" si="7"/>
        <v>1963.04</v>
      </c>
      <c r="D27" s="153">
        <f t="shared" si="8"/>
        <v>1963.04</v>
      </c>
      <c r="E27" s="153">
        <f t="shared" si="9"/>
        <v>1963.04</v>
      </c>
      <c r="F27" s="153">
        <f t="shared" si="10"/>
        <v>1963.04</v>
      </c>
      <c r="G27" s="6"/>
      <c r="I27" s="64">
        <v>1869.43</v>
      </c>
      <c r="J27" s="64">
        <v>1963.34</v>
      </c>
    </row>
    <row r="28" spans="1:10" x14ac:dyDescent="0.2">
      <c r="A28" s="152" t="s">
        <v>139</v>
      </c>
      <c r="B28" s="64">
        <v>1186.76</v>
      </c>
      <c r="C28" s="153">
        <f t="shared" si="7"/>
        <v>1186.76</v>
      </c>
      <c r="D28" s="153">
        <f t="shared" si="8"/>
        <v>1186.76</v>
      </c>
      <c r="E28" s="153">
        <f t="shared" si="9"/>
        <v>1186.76</v>
      </c>
      <c r="F28" s="153">
        <f t="shared" si="10"/>
        <v>1186.76</v>
      </c>
      <c r="G28" s="6"/>
      <c r="I28" s="64">
        <v>1130.17</v>
      </c>
      <c r="J28" s="64">
        <v>1186.94</v>
      </c>
    </row>
    <row r="29" spans="1:10" x14ac:dyDescent="0.2">
      <c r="A29" s="66"/>
      <c r="B29" s="66"/>
      <c r="C29" s="66"/>
      <c r="D29" s="66"/>
      <c r="E29" s="66"/>
      <c r="F29" s="66"/>
      <c r="G29" s="6"/>
      <c r="I29" s="66"/>
      <c r="J29" s="66"/>
    </row>
    <row r="30" spans="1:10" s="3" customFormat="1" x14ac:dyDescent="0.2">
      <c r="A30" s="151" t="s">
        <v>143</v>
      </c>
      <c r="B30" s="63" t="str">
        <f>B1</f>
        <v>voorlopig / 
1e regeling</v>
      </c>
      <c r="C30" s="63" t="str">
        <f>C1</f>
        <v>indicatie</v>
      </c>
      <c r="D30" s="63" t="str">
        <f>D1</f>
        <v>indicatie</v>
      </c>
      <c r="E30" s="63" t="str">
        <f>E1</f>
        <v>indicatie</v>
      </c>
      <c r="F30" s="63" t="str">
        <f>F1</f>
        <v>indicatie</v>
      </c>
      <c r="I30" s="146">
        <v>2023</v>
      </c>
      <c r="J30" s="146"/>
    </row>
    <row r="31" spans="1:10" x14ac:dyDescent="0.2">
      <c r="A31" s="152" t="s">
        <v>144</v>
      </c>
      <c r="B31" s="64">
        <v>7018.91</v>
      </c>
      <c r="C31" s="153">
        <f t="shared" ref="C31:C36" si="11">B31</f>
        <v>7018.91</v>
      </c>
      <c r="D31" s="153">
        <f t="shared" ref="D31:D36" si="12">C31</f>
        <v>7018.91</v>
      </c>
      <c r="E31" s="153">
        <f t="shared" ref="E31:E36" si="13">D31</f>
        <v>7018.91</v>
      </c>
      <c r="F31" s="153">
        <f t="shared" ref="F31:F36" si="14">E31</f>
        <v>7018.91</v>
      </c>
      <c r="I31" s="64">
        <v>6685.01</v>
      </c>
      <c r="J31" s="64">
        <v>7020.57</v>
      </c>
    </row>
    <row r="32" spans="1:10" x14ac:dyDescent="0.2">
      <c r="A32" s="152" t="s">
        <v>123</v>
      </c>
      <c r="B32" s="64">
        <v>89652.83</v>
      </c>
      <c r="C32" s="153">
        <f t="shared" si="11"/>
        <v>89652.83</v>
      </c>
      <c r="D32" s="153">
        <f t="shared" si="12"/>
        <v>89652.83</v>
      </c>
      <c r="E32" s="153">
        <f t="shared" si="13"/>
        <v>89652.83</v>
      </c>
      <c r="F32" s="153">
        <f t="shared" si="14"/>
        <v>89652.83</v>
      </c>
      <c r="I32" s="64">
        <v>80633.58</v>
      </c>
      <c r="J32" s="64">
        <v>84738.12</v>
      </c>
    </row>
    <row r="33" spans="1:10" x14ac:dyDescent="0.2">
      <c r="A33" s="152" t="s">
        <v>124</v>
      </c>
      <c r="B33" s="64">
        <v>110351.98</v>
      </c>
      <c r="C33" s="153">
        <f t="shared" si="11"/>
        <v>110351.98</v>
      </c>
      <c r="D33" s="153">
        <f t="shared" si="12"/>
        <v>110351.98</v>
      </c>
      <c r="E33" s="153">
        <f t="shared" si="13"/>
        <v>110351.98</v>
      </c>
      <c r="F33" s="153">
        <f t="shared" si="14"/>
        <v>110351.98</v>
      </c>
      <c r="I33" s="64">
        <v>100345.66</v>
      </c>
      <c r="J33" s="64">
        <v>105440.42</v>
      </c>
    </row>
    <row r="34" spans="1:10" x14ac:dyDescent="0.2">
      <c r="A34" s="152" t="s">
        <v>145</v>
      </c>
      <c r="B34" s="64">
        <v>21658.13</v>
      </c>
      <c r="C34" s="153">
        <f t="shared" si="11"/>
        <v>21658.13</v>
      </c>
      <c r="D34" s="153">
        <f t="shared" si="12"/>
        <v>21658.13</v>
      </c>
      <c r="E34" s="153">
        <f t="shared" si="13"/>
        <v>21658.13</v>
      </c>
      <c r="F34" s="153">
        <f t="shared" si="14"/>
        <v>21658.13</v>
      </c>
      <c r="I34" s="64">
        <v>20625.330000000002</v>
      </c>
      <c r="J34" s="64">
        <v>21661.42</v>
      </c>
    </row>
    <row r="35" spans="1:10" x14ac:dyDescent="0.2">
      <c r="A35" s="66" t="s">
        <v>146</v>
      </c>
      <c r="B35" s="64">
        <v>3501.84</v>
      </c>
      <c r="C35" s="153">
        <f t="shared" si="11"/>
        <v>3501.84</v>
      </c>
      <c r="D35" s="153">
        <f t="shared" si="12"/>
        <v>3501.84</v>
      </c>
      <c r="E35" s="153">
        <f t="shared" si="13"/>
        <v>3501.84</v>
      </c>
      <c r="F35" s="153">
        <f t="shared" si="14"/>
        <v>3501.84</v>
      </c>
      <c r="I35" s="64">
        <v>3334.85</v>
      </c>
      <c r="J35" s="64">
        <v>3502.37</v>
      </c>
    </row>
    <row r="36" spans="1:10" x14ac:dyDescent="0.2">
      <c r="A36" s="66" t="s">
        <v>147</v>
      </c>
      <c r="B36" s="64">
        <v>6634.52</v>
      </c>
      <c r="C36" s="154">
        <f t="shared" si="11"/>
        <v>6634.52</v>
      </c>
      <c r="D36" s="154">
        <f t="shared" si="12"/>
        <v>6634.52</v>
      </c>
      <c r="E36" s="154">
        <f t="shared" si="13"/>
        <v>6634.52</v>
      </c>
      <c r="F36" s="154">
        <f t="shared" si="14"/>
        <v>6634.52</v>
      </c>
      <c r="I36" s="76">
        <v>6318.14</v>
      </c>
      <c r="J36" s="76">
        <v>6635.53</v>
      </c>
    </row>
    <row r="37" spans="1:10" x14ac:dyDescent="0.2">
      <c r="A37" s="66" t="s">
        <v>148</v>
      </c>
      <c r="B37" s="67">
        <f t="shared" ref="B37:F37" si="15">B25</f>
        <v>4055.31</v>
      </c>
      <c r="C37" s="67">
        <f t="shared" si="15"/>
        <v>4055.31</v>
      </c>
      <c r="D37" s="67">
        <f t="shared" si="15"/>
        <v>4055.31</v>
      </c>
      <c r="E37" s="67">
        <f t="shared" si="15"/>
        <v>4055.31</v>
      </c>
      <c r="F37" s="67">
        <f t="shared" si="15"/>
        <v>4055.31</v>
      </c>
      <c r="I37" s="67">
        <f t="shared" ref="I37:J37" si="16">I25</f>
        <v>3861.93</v>
      </c>
      <c r="J37" s="67">
        <f t="shared" si="16"/>
        <v>4055.93</v>
      </c>
    </row>
    <row r="38" spans="1:10" x14ac:dyDescent="0.2">
      <c r="A38" s="152" t="s">
        <v>137</v>
      </c>
      <c r="B38" s="67">
        <f t="shared" ref="B38:F38" si="17">B26</f>
        <v>15640.56</v>
      </c>
      <c r="C38" s="67">
        <f t="shared" si="17"/>
        <v>15640.56</v>
      </c>
      <c r="D38" s="67">
        <f t="shared" si="17"/>
        <v>15640.56</v>
      </c>
      <c r="E38" s="67">
        <f t="shared" si="17"/>
        <v>15640.56</v>
      </c>
      <c r="F38" s="67">
        <f t="shared" si="17"/>
        <v>15640.56</v>
      </c>
      <c r="I38" s="67">
        <f t="shared" ref="I38:J38" si="18">I26</f>
        <v>14894.72</v>
      </c>
      <c r="J38" s="67">
        <f t="shared" si="18"/>
        <v>15642.94</v>
      </c>
    </row>
    <row r="39" spans="1:10" x14ac:dyDescent="0.2">
      <c r="A39" s="66"/>
      <c r="B39" s="66"/>
      <c r="C39" s="66"/>
      <c r="D39" s="66"/>
      <c r="E39" s="66"/>
      <c r="F39" s="66"/>
      <c r="I39" s="66"/>
      <c r="J39" s="66"/>
    </row>
    <row r="40" spans="1:10" s="3" customFormat="1" x14ac:dyDescent="0.2">
      <c r="A40" s="151" t="s">
        <v>149</v>
      </c>
      <c r="B40" s="63" t="str">
        <f>B1</f>
        <v>voorlopig / 
1e regeling</v>
      </c>
      <c r="C40" s="63" t="str">
        <f>C1</f>
        <v>indicatie</v>
      </c>
      <c r="D40" s="63" t="str">
        <f>D1</f>
        <v>indicatie</v>
      </c>
      <c r="E40" s="63" t="str">
        <f>E1</f>
        <v>indicatie</v>
      </c>
      <c r="F40" s="63" t="str">
        <f>F1</f>
        <v>indicatie</v>
      </c>
      <c r="I40" s="146">
        <v>2023</v>
      </c>
      <c r="J40" s="146"/>
    </row>
    <row r="41" spans="1:10" x14ac:dyDescent="0.2">
      <c r="A41" s="152" t="s">
        <v>150</v>
      </c>
      <c r="B41" s="64">
        <v>7130.25</v>
      </c>
      <c r="C41" s="153">
        <f t="shared" ref="C41:C64" si="19">B41</f>
        <v>7130.25</v>
      </c>
      <c r="D41" s="153">
        <f t="shared" ref="D41:D64" si="20">C41</f>
        <v>7130.25</v>
      </c>
      <c r="E41" s="153">
        <f t="shared" ref="E41:E64" si="21">D41</f>
        <v>7130.25</v>
      </c>
      <c r="F41" s="153">
        <f t="shared" ref="F41:F64" si="22">E41</f>
        <v>7130.25</v>
      </c>
      <c r="I41" s="64">
        <v>6791.31</v>
      </c>
      <c r="J41" s="64">
        <v>7132.13</v>
      </c>
    </row>
    <row r="42" spans="1:10" x14ac:dyDescent="0.2">
      <c r="A42" s="152" t="s">
        <v>151</v>
      </c>
      <c r="B42" s="64">
        <v>10805.74</v>
      </c>
      <c r="C42" s="153">
        <f t="shared" si="19"/>
        <v>10805.74</v>
      </c>
      <c r="D42" s="153">
        <f t="shared" si="20"/>
        <v>10805.74</v>
      </c>
      <c r="E42" s="153">
        <f t="shared" si="21"/>
        <v>10805.74</v>
      </c>
      <c r="F42" s="153">
        <f t="shared" si="22"/>
        <v>10805.74</v>
      </c>
      <c r="I42" s="64">
        <v>10291.530000000001</v>
      </c>
      <c r="J42" s="64">
        <v>10808.18</v>
      </c>
    </row>
    <row r="43" spans="1:10" x14ac:dyDescent="0.2">
      <c r="A43" s="152" t="s">
        <v>152</v>
      </c>
      <c r="B43" s="64">
        <v>147686.20000000001</v>
      </c>
      <c r="C43" s="153">
        <f t="shared" si="19"/>
        <v>147686.20000000001</v>
      </c>
      <c r="D43" s="153">
        <f t="shared" si="20"/>
        <v>147686.20000000001</v>
      </c>
      <c r="E43" s="153">
        <f t="shared" si="21"/>
        <v>147686.20000000001</v>
      </c>
      <c r="F43" s="153">
        <f t="shared" si="22"/>
        <v>147686.20000000001</v>
      </c>
      <c r="I43" s="64">
        <v>126340.85</v>
      </c>
      <c r="J43" s="64">
        <v>132783.66</v>
      </c>
    </row>
    <row r="44" spans="1:10" x14ac:dyDescent="0.2">
      <c r="A44" s="152" t="s">
        <v>153</v>
      </c>
      <c r="B44" s="64">
        <v>168415.76</v>
      </c>
      <c r="C44" s="153">
        <f t="shared" si="19"/>
        <v>168415.76</v>
      </c>
      <c r="D44" s="153">
        <f t="shared" si="20"/>
        <v>168415.76</v>
      </c>
      <c r="E44" s="153">
        <f t="shared" si="21"/>
        <v>168415.76</v>
      </c>
      <c r="F44" s="153">
        <f t="shared" si="22"/>
        <v>168415.76</v>
      </c>
      <c r="I44" s="64">
        <v>146081.88</v>
      </c>
      <c r="J44" s="64">
        <v>153516.37</v>
      </c>
    </row>
    <row r="45" spans="1:10" x14ac:dyDescent="0.2">
      <c r="A45" s="152" t="s">
        <v>154</v>
      </c>
      <c r="B45" s="64">
        <v>151381.26999999999</v>
      </c>
      <c r="C45" s="153">
        <f t="shared" si="19"/>
        <v>151381.26999999999</v>
      </c>
      <c r="D45" s="153">
        <f t="shared" si="20"/>
        <v>151381.26999999999</v>
      </c>
      <c r="E45" s="153">
        <f t="shared" si="21"/>
        <v>151381.26999999999</v>
      </c>
      <c r="F45" s="153">
        <f t="shared" si="22"/>
        <v>151381.26999999999</v>
      </c>
      <c r="I45" s="64">
        <v>129859.71</v>
      </c>
      <c r="J45" s="64">
        <v>136479.29</v>
      </c>
    </row>
    <row r="46" spans="1:10" x14ac:dyDescent="0.2">
      <c r="A46" s="152" t="s">
        <v>155</v>
      </c>
      <c r="B46" s="64">
        <v>172110.83</v>
      </c>
      <c r="C46" s="153">
        <f t="shared" si="19"/>
        <v>172110.83</v>
      </c>
      <c r="D46" s="153">
        <f t="shared" si="20"/>
        <v>172110.83</v>
      </c>
      <c r="E46" s="153">
        <f t="shared" si="21"/>
        <v>172110.83</v>
      </c>
      <c r="F46" s="153">
        <f t="shared" si="22"/>
        <v>172110.83</v>
      </c>
      <c r="I46" s="64">
        <v>149600.74</v>
      </c>
      <c r="J46" s="64">
        <v>157212</v>
      </c>
    </row>
    <row r="47" spans="1:10" x14ac:dyDescent="0.2">
      <c r="A47" s="152" t="s">
        <v>156</v>
      </c>
      <c r="B47" s="64">
        <v>7351.69</v>
      </c>
      <c r="C47" s="153">
        <f t="shared" si="19"/>
        <v>7351.69</v>
      </c>
      <c r="D47" s="153">
        <f t="shared" si="20"/>
        <v>7351.69</v>
      </c>
      <c r="E47" s="153">
        <f t="shared" si="21"/>
        <v>7351.69</v>
      </c>
      <c r="F47" s="153">
        <f t="shared" si="22"/>
        <v>7351.69</v>
      </c>
      <c r="I47" s="64">
        <v>7001.11</v>
      </c>
      <c r="J47" s="64">
        <v>7352.81</v>
      </c>
    </row>
    <row r="48" spans="1:10" x14ac:dyDescent="0.2">
      <c r="A48" s="152" t="s">
        <v>157</v>
      </c>
      <c r="B48" s="64">
        <v>11417.74</v>
      </c>
      <c r="C48" s="153">
        <f t="shared" si="19"/>
        <v>11417.74</v>
      </c>
      <c r="D48" s="153">
        <f t="shared" si="20"/>
        <v>11417.74</v>
      </c>
      <c r="E48" s="153">
        <f t="shared" si="21"/>
        <v>11417.74</v>
      </c>
      <c r="F48" s="153">
        <f t="shared" si="22"/>
        <v>11417.74</v>
      </c>
      <c r="I48" s="64">
        <v>10873.27</v>
      </c>
      <c r="J48" s="64">
        <v>11419.48</v>
      </c>
    </row>
    <row r="49" spans="1:10" x14ac:dyDescent="0.2">
      <c r="A49" s="152" t="s">
        <v>158</v>
      </c>
      <c r="B49" s="64">
        <v>332.4</v>
      </c>
      <c r="C49" s="153">
        <f t="shared" si="19"/>
        <v>332.4</v>
      </c>
      <c r="D49" s="153">
        <f t="shared" si="20"/>
        <v>332.4</v>
      </c>
      <c r="E49" s="153">
        <f t="shared" si="21"/>
        <v>332.4</v>
      </c>
      <c r="F49" s="153">
        <f t="shared" si="22"/>
        <v>332.4</v>
      </c>
      <c r="I49" s="64">
        <v>316.55</v>
      </c>
      <c r="J49" s="64">
        <v>332.45</v>
      </c>
    </row>
    <row r="50" spans="1:10" x14ac:dyDescent="0.2">
      <c r="A50" s="152" t="s">
        <v>159</v>
      </c>
      <c r="B50" s="64">
        <v>24687.360000000001</v>
      </c>
      <c r="C50" s="153">
        <f t="shared" si="19"/>
        <v>24687.360000000001</v>
      </c>
      <c r="D50" s="153">
        <f t="shared" si="20"/>
        <v>24687.360000000001</v>
      </c>
      <c r="E50" s="153">
        <f t="shared" si="21"/>
        <v>24687.360000000001</v>
      </c>
      <c r="F50" s="153">
        <f t="shared" si="22"/>
        <v>24687.360000000001</v>
      </c>
      <c r="I50" s="64">
        <v>23510.1</v>
      </c>
      <c r="J50" s="64">
        <v>24691.11</v>
      </c>
    </row>
    <row r="51" spans="1:10" x14ac:dyDescent="0.2">
      <c r="A51" s="152" t="s">
        <v>160</v>
      </c>
      <c r="B51" s="64">
        <v>193.2</v>
      </c>
      <c r="C51" s="153">
        <f t="shared" si="19"/>
        <v>193.2</v>
      </c>
      <c r="D51" s="153">
        <f t="shared" si="20"/>
        <v>193.2</v>
      </c>
      <c r="E51" s="153">
        <f t="shared" si="21"/>
        <v>193.2</v>
      </c>
      <c r="F51" s="153">
        <f t="shared" si="22"/>
        <v>193.2</v>
      </c>
      <c r="I51" s="64">
        <v>183.99</v>
      </c>
      <c r="J51" s="64">
        <v>193.23</v>
      </c>
    </row>
    <row r="52" spans="1:10" x14ac:dyDescent="0.2">
      <c r="A52" s="152" t="s">
        <v>161</v>
      </c>
      <c r="B52" s="64">
        <v>1197.3800000000001</v>
      </c>
      <c r="C52" s="153">
        <f t="shared" si="19"/>
        <v>1197.3800000000001</v>
      </c>
      <c r="D52" s="153">
        <f t="shared" si="20"/>
        <v>1197.3800000000001</v>
      </c>
      <c r="E52" s="153">
        <f t="shared" si="21"/>
        <v>1197.3800000000001</v>
      </c>
      <c r="F52" s="153">
        <f t="shared" si="22"/>
        <v>1197.3800000000001</v>
      </c>
      <c r="I52" s="64">
        <v>1140.27</v>
      </c>
      <c r="J52" s="64">
        <v>1197.56</v>
      </c>
    </row>
    <row r="53" spans="1:10" x14ac:dyDescent="0.2">
      <c r="A53" s="152" t="s">
        <v>162</v>
      </c>
      <c r="B53" s="64">
        <v>90.54</v>
      </c>
      <c r="C53" s="153">
        <f t="shared" si="19"/>
        <v>90.54</v>
      </c>
      <c r="D53" s="153">
        <f t="shared" si="20"/>
        <v>90.54</v>
      </c>
      <c r="E53" s="153">
        <f t="shared" si="21"/>
        <v>90.54</v>
      </c>
      <c r="F53" s="153">
        <f t="shared" si="22"/>
        <v>90.54</v>
      </c>
      <c r="I53" s="64">
        <v>86.22</v>
      </c>
      <c r="J53" s="64">
        <v>90.55</v>
      </c>
    </row>
    <row r="54" spans="1:10" x14ac:dyDescent="0.2">
      <c r="A54" s="66" t="s">
        <v>146</v>
      </c>
      <c r="B54" s="64">
        <v>3501.84</v>
      </c>
      <c r="C54" s="153">
        <f t="shared" si="19"/>
        <v>3501.84</v>
      </c>
      <c r="D54" s="153">
        <f t="shared" si="20"/>
        <v>3501.84</v>
      </c>
      <c r="E54" s="153">
        <f t="shared" si="21"/>
        <v>3501.84</v>
      </c>
      <c r="F54" s="153">
        <f t="shared" si="22"/>
        <v>3501.84</v>
      </c>
      <c r="I54" s="64">
        <v>3334.85</v>
      </c>
      <c r="J54" s="64">
        <v>3502.37</v>
      </c>
    </row>
    <row r="55" spans="1:10" x14ac:dyDescent="0.2">
      <c r="A55" s="66" t="s">
        <v>174</v>
      </c>
      <c r="B55" s="64">
        <v>12938.34</v>
      </c>
      <c r="C55" s="153">
        <f t="shared" si="19"/>
        <v>12938.34</v>
      </c>
      <c r="D55" s="153">
        <f t="shared" si="20"/>
        <v>12938.34</v>
      </c>
      <c r="E55" s="153">
        <f t="shared" si="21"/>
        <v>12938.34</v>
      </c>
      <c r="F55" s="153">
        <f t="shared" si="22"/>
        <v>12938.34</v>
      </c>
      <c r="I55" s="64">
        <v>12321.36</v>
      </c>
      <c r="J55" s="64">
        <v>12940.31</v>
      </c>
    </row>
    <row r="56" spans="1:10" x14ac:dyDescent="0.2">
      <c r="A56" s="66" t="s">
        <v>175</v>
      </c>
      <c r="B56" s="64">
        <v>21053.23</v>
      </c>
      <c r="C56" s="153">
        <f t="shared" si="19"/>
        <v>21053.23</v>
      </c>
      <c r="D56" s="153">
        <f t="shared" si="20"/>
        <v>21053.23</v>
      </c>
      <c r="E56" s="153">
        <f t="shared" si="21"/>
        <v>21053.23</v>
      </c>
      <c r="F56" s="153">
        <f t="shared" si="22"/>
        <v>21053.23</v>
      </c>
      <c r="I56" s="64">
        <v>20049.259999999998</v>
      </c>
      <c r="J56" s="64">
        <v>21056.43</v>
      </c>
    </row>
    <row r="57" spans="1:10" x14ac:dyDescent="0.2">
      <c r="A57" s="66" t="s">
        <v>176</v>
      </c>
      <c r="B57" s="64">
        <v>31419.53</v>
      </c>
      <c r="C57" s="153">
        <f t="shared" si="19"/>
        <v>31419.53</v>
      </c>
      <c r="D57" s="153">
        <f t="shared" si="20"/>
        <v>31419.53</v>
      </c>
      <c r="E57" s="153">
        <f t="shared" si="21"/>
        <v>31419.53</v>
      </c>
      <c r="F57" s="153">
        <f t="shared" si="22"/>
        <v>31419.53</v>
      </c>
      <c r="I57" s="64">
        <v>29921.24</v>
      </c>
      <c r="J57" s="64">
        <v>31424.31</v>
      </c>
    </row>
    <row r="58" spans="1:10" x14ac:dyDescent="0.2">
      <c r="A58" s="66" t="s">
        <v>179</v>
      </c>
      <c r="B58" s="64">
        <v>13789.07</v>
      </c>
      <c r="C58" s="153">
        <f t="shared" si="19"/>
        <v>13789.07</v>
      </c>
      <c r="D58" s="153">
        <f t="shared" si="20"/>
        <v>13789.07</v>
      </c>
      <c r="E58" s="153">
        <f t="shared" si="21"/>
        <v>13789.07</v>
      </c>
      <c r="F58" s="153">
        <f t="shared" si="22"/>
        <v>13789.07</v>
      </c>
      <c r="I58" s="64">
        <v>13131.51</v>
      </c>
      <c r="J58" s="64">
        <v>13791.17</v>
      </c>
    </row>
    <row r="59" spans="1:10" x14ac:dyDescent="0.2">
      <c r="A59" s="66" t="s">
        <v>180</v>
      </c>
      <c r="B59" s="64">
        <v>24067.34</v>
      </c>
      <c r="C59" s="153">
        <f t="shared" si="19"/>
        <v>24067.34</v>
      </c>
      <c r="D59" s="153">
        <f t="shared" si="20"/>
        <v>24067.34</v>
      </c>
      <c r="E59" s="153">
        <f t="shared" si="21"/>
        <v>24067.34</v>
      </c>
      <c r="F59" s="153">
        <f t="shared" si="22"/>
        <v>24067.34</v>
      </c>
      <c r="I59" s="64">
        <v>22919.65</v>
      </c>
      <c r="J59" s="64">
        <v>24071</v>
      </c>
    </row>
    <row r="60" spans="1:10" x14ac:dyDescent="0.2">
      <c r="A60" s="66" t="s">
        <v>181</v>
      </c>
      <c r="B60" s="64">
        <v>29732.15</v>
      </c>
      <c r="C60" s="153">
        <f t="shared" si="19"/>
        <v>29732.15</v>
      </c>
      <c r="D60" s="153">
        <f t="shared" si="20"/>
        <v>29732.15</v>
      </c>
      <c r="E60" s="153">
        <f t="shared" si="21"/>
        <v>29732.15</v>
      </c>
      <c r="F60" s="153">
        <f t="shared" si="22"/>
        <v>29732.15</v>
      </c>
      <c r="I60" s="64">
        <v>28314.32</v>
      </c>
      <c r="J60" s="64">
        <v>29736.67</v>
      </c>
    </row>
    <row r="61" spans="1:10" x14ac:dyDescent="0.2">
      <c r="A61" s="66" t="s">
        <v>163</v>
      </c>
      <c r="B61" s="64">
        <v>47327.66</v>
      </c>
      <c r="C61" s="153">
        <f t="shared" si="19"/>
        <v>47327.66</v>
      </c>
      <c r="D61" s="153">
        <f t="shared" si="20"/>
        <v>47327.66</v>
      </c>
      <c r="E61" s="153">
        <f t="shared" si="21"/>
        <v>47327.66</v>
      </c>
      <c r="F61" s="153">
        <f t="shared" si="22"/>
        <v>47327.66</v>
      </c>
      <c r="I61" s="64">
        <v>45070.75</v>
      </c>
      <c r="J61" s="64">
        <v>47334.85</v>
      </c>
    </row>
    <row r="62" spans="1:10" x14ac:dyDescent="0.2">
      <c r="A62" s="66" t="s">
        <v>214</v>
      </c>
      <c r="B62" s="64">
        <v>13044.81</v>
      </c>
      <c r="C62" s="153">
        <f t="shared" si="19"/>
        <v>13044.81</v>
      </c>
      <c r="D62" s="153">
        <f t="shared" si="20"/>
        <v>13044.81</v>
      </c>
      <c r="E62" s="153">
        <f t="shared" si="21"/>
        <v>13044.81</v>
      </c>
      <c r="F62" s="153">
        <f t="shared" si="22"/>
        <v>13044.81</v>
      </c>
      <c r="I62" s="64">
        <v>12422.75</v>
      </c>
      <c r="J62" s="64">
        <v>13046.79</v>
      </c>
    </row>
    <row r="63" spans="1:10" x14ac:dyDescent="0.2">
      <c r="A63" s="66" t="s">
        <v>215</v>
      </c>
      <c r="B63" s="64">
        <v>5449.33</v>
      </c>
      <c r="C63" s="153">
        <f t="shared" si="19"/>
        <v>5449.33</v>
      </c>
      <c r="D63" s="153">
        <f t="shared" si="20"/>
        <v>5449.33</v>
      </c>
      <c r="E63" s="153">
        <f t="shared" si="21"/>
        <v>5449.33</v>
      </c>
      <c r="F63" s="153">
        <f t="shared" si="22"/>
        <v>5449.33</v>
      </c>
      <c r="I63" s="64">
        <v>5189.47</v>
      </c>
      <c r="J63" s="64">
        <v>5450.16</v>
      </c>
    </row>
    <row r="64" spans="1:10" x14ac:dyDescent="0.2">
      <c r="A64" s="66" t="s">
        <v>164</v>
      </c>
      <c r="B64" s="64">
        <v>23693.41</v>
      </c>
      <c r="C64" s="153">
        <f t="shared" si="19"/>
        <v>23693.41</v>
      </c>
      <c r="D64" s="153">
        <f t="shared" si="20"/>
        <v>23693.41</v>
      </c>
      <c r="E64" s="153">
        <f t="shared" si="21"/>
        <v>23693.41</v>
      </c>
      <c r="F64" s="153">
        <f t="shared" si="22"/>
        <v>23693.41</v>
      </c>
      <c r="I64" s="64">
        <v>22563.54</v>
      </c>
      <c r="J64" s="64">
        <v>23697.01</v>
      </c>
    </row>
    <row r="65" spans="1:10" x14ac:dyDescent="0.2">
      <c r="A65" s="66"/>
      <c r="B65" s="66"/>
      <c r="C65" s="66"/>
      <c r="D65" s="66"/>
      <c r="E65" s="66"/>
      <c r="F65" s="66"/>
      <c r="I65" s="66"/>
      <c r="J65" s="66"/>
    </row>
    <row r="66" spans="1:10" x14ac:dyDescent="0.2">
      <c r="A66" s="151" t="s">
        <v>165</v>
      </c>
      <c r="B66" s="63" t="str">
        <f>B1</f>
        <v>voorlopig / 
1e regeling</v>
      </c>
      <c r="C66" s="63" t="str">
        <f>C1</f>
        <v>indicatie</v>
      </c>
      <c r="D66" s="63" t="str">
        <f>D1</f>
        <v>indicatie</v>
      </c>
      <c r="E66" s="63" t="str">
        <f>E1</f>
        <v>indicatie</v>
      </c>
      <c r="F66" s="63" t="str">
        <f>F1</f>
        <v>indicatie</v>
      </c>
      <c r="I66" s="146">
        <v>2023</v>
      </c>
      <c r="J66" s="146"/>
    </row>
    <row r="67" spans="1:10" x14ac:dyDescent="0.2">
      <c r="A67" s="66" t="s">
        <v>173</v>
      </c>
      <c r="B67" s="64">
        <v>356.36</v>
      </c>
      <c r="C67" s="155">
        <f t="shared" ref="C67:C76" si="23">B67</f>
        <v>356.36</v>
      </c>
      <c r="D67" s="155">
        <f t="shared" ref="D67:D76" si="24">C67</f>
        <v>356.36</v>
      </c>
      <c r="E67" s="155">
        <f t="shared" ref="E67:E76" si="25">D67</f>
        <v>356.36</v>
      </c>
      <c r="F67" s="155">
        <f t="shared" ref="F67:F76" si="26">E67</f>
        <v>356.36</v>
      </c>
      <c r="I67" s="77">
        <v>339.36</v>
      </c>
      <c r="J67" s="77">
        <v>356.41</v>
      </c>
    </row>
    <row r="68" spans="1:10" x14ac:dyDescent="0.2">
      <c r="A68" s="66" t="s">
        <v>147</v>
      </c>
      <c r="B68" s="64">
        <v>6634.52</v>
      </c>
      <c r="C68" s="153">
        <f t="shared" si="23"/>
        <v>6634.52</v>
      </c>
      <c r="D68" s="153">
        <f t="shared" si="24"/>
        <v>6634.52</v>
      </c>
      <c r="E68" s="153">
        <f t="shared" si="25"/>
        <v>6634.52</v>
      </c>
      <c r="F68" s="153">
        <f t="shared" si="26"/>
        <v>6634.52</v>
      </c>
      <c r="I68" s="64">
        <f>I36</f>
        <v>6318.14</v>
      </c>
      <c r="J68" s="64">
        <v>6635.53</v>
      </c>
    </row>
    <row r="69" spans="1:10" x14ac:dyDescent="0.2">
      <c r="A69" s="66" t="s">
        <v>166</v>
      </c>
      <c r="B69" s="64">
        <v>490.7</v>
      </c>
      <c r="C69" s="153">
        <f t="shared" si="23"/>
        <v>490.7</v>
      </c>
      <c r="D69" s="153">
        <f t="shared" si="24"/>
        <v>490.7</v>
      </c>
      <c r="E69" s="153">
        <f t="shared" si="25"/>
        <v>490.7</v>
      </c>
      <c r="F69" s="153">
        <f t="shared" si="26"/>
        <v>490.7</v>
      </c>
      <c r="I69" s="64">
        <v>467.3</v>
      </c>
      <c r="J69" s="64">
        <v>477.27</v>
      </c>
    </row>
    <row r="70" spans="1:10" x14ac:dyDescent="0.2">
      <c r="A70" s="66" t="s">
        <v>174</v>
      </c>
      <c r="B70" s="64">
        <v>12938.34</v>
      </c>
      <c r="C70" s="153">
        <f t="shared" si="23"/>
        <v>12938.34</v>
      </c>
      <c r="D70" s="153">
        <f t="shared" si="24"/>
        <v>12938.34</v>
      </c>
      <c r="E70" s="153">
        <f t="shared" si="25"/>
        <v>12938.34</v>
      </c>
      <c r="F70" s="153">
        <f t="shared" si="26"/>
        <v>12938.34</v>
      </c>
      <c r="I70" s="64">
        <f>I55</f>
        <v>12321.36</v>
      </c>
      <c r="J70" s="64">
        <v>12940.31</v>
      </c>
    </row>
    <row r="71" spans="1:10" x14ac:dyDescent="0.2">
      <c r="A71" s="66" t="s">
        <v>175</v>
      </c>
      <c r="B71" s="64">
        <v>21053.23</v>
      </c>
      <c r="C71" s="153">
        <f t="shared" si="23"/>
        <v>21053.23</v>
      </c>
      <c r="D71" s="153">
        <f t="shared" si="24"/>
        <v>21053.23</v>
      </c>
      <c r="E71" s="153">
        <f t="shared" si="25"/>
        <v>21053.23</v>
      </c>
      <c r="F71" s="153">
        <f t="shared" si="26"/>
        <v>21053.23</v>
      </c>
      <c r="I71" s="64">
        <f>I56</f>
        <v>20049.259999999998</v>
      </c>
      <c r="J71" s="64">
        <v>21056.43</v>
      </c>
    </row>
    <row r="72" spans="1:10" x14ac:dyDescent="0.2">
      <c r="A72" s="66" t="s">
        <v>176</v>
      </c>
      <c r="B72" s="64">
        <v>31419.53</v>
      </c>
      <c r="C72" s="153">
        <f t="shared" si="23"/>
        <v>31419.53</v>
      </c>
      <c r="D72" s="153">
        <f t="shared" si="24"/>
        <v>31419.53</v>
      </c>
      <c r="E72" s="153">
        <f t="shared" si="25"/>
        <v>31419.53</v>
      </c>
      <c r="F72" s="153">
        <f t="shared" si="26"/>
        <v>31419.53</v>
      </c>
      <c r="I72" s="64">
        <f>I57</f>
        <v>29921.24</v>
      </c>
      <c r="J72" s="64">
        <v>31424.31</v>
      </c>
    </row>
    <row r="73" spans="1:10" x14ac:dyDescent="0.2">
      <c r="A73" s="66" t="s">
        <v>167</v>
      </c>
      <c r="B73" s="64">
        <v>15.15</v>
      </c>
      <c r="C73" s="153">
        <f t="shared" si="23"/>
        <v>15.15</v>
      </c>
      <c r="D73" s="153">
        <f t="shared" si="24"/>
        <v>15.15</v>
      </c>
      <c r="E73" s="153">
        <f t="shared" si="25"/>
        <v>15.15</v>
      </c>
      <c r="F73" s="153">
        <f t="shared" si="26"/>
        <v>15.15</v>
      </c>
      <c r="I73" s="64">
        <v>14.36</v>
      </c>
      <c r="J73" s="64">
        <v>15.09</v>
      </c>
    </row>
    <row r="74" spans="1:10" x14ac:dyDescent="0.2">
      <c r="A74" s="66" t="s">
        <v>177</v>
      </c>
      <c r="B74" s="68">
        <v>115.63</v>
      </c>
      <c r="C74" s="68">
        <f t="shared" si="23"/>
        <v>115.63</v>
      </c>
      <c r="D74" s="68">
        <f t="shared" si="24"/>
        <v>115.63</v>
      </c>
      <c r="E74" s="68">
        <f t="shared" si="25"/>
        <v>115.63</v>
      </c>
      <c r="F74" s="68">
        <f t="shared" si="26"/>
        <v>115.63</v>
      </c>
      <c r="I74" s="68">
        <v>109.33</v>
      </c>
      <c r="J74" s="68">
        <v>115.63</v>
      </c>
    </row>
    <row r="75" spans="1:10" x14ac:dyDescent="0.2">
      <c r="A75" s="66" t="s">
        <v>178</v>
      </c>
      <c r="B75" s="68">
        <v>5486.57</v>
      </c>
      <c r="C75" s="68">
        <f t="shared" si="23"/>
        <v>5486.57</v>
      </c>
      <c r="D75" s="68">
        <f t="shared" si="24"/>
        <v>5486.57</v>
      </c>
      <c r="E75" s="68">
        <f t="shared" si="25"/>
        <v>5486.57</v>
      </c>
      <c r="F75" s="68">
        <f t="shared" si="26"/>
        <v>5486.57</v>
      </c>
      <c r="I75" s="68">
        <v>5187.62</v>
      </c>
      <c r="J75" s="68">
        <v>5486.57</v>
      </c>
    </row>
    <row r="76" spans="1:10" x14ac:dyDescent="0.2">
      <c r="A76" s="66" t="s">
        <v>168</v>
      </c>
      <c r="B76" s="64">
        <v>783.25</v>
      </c>
      <c r="C76" s="153">
        <f t="shared" si="23"/>
        <v>783.25</v>
      </c>
      <c r="D76" s="153">
        <f t="shared" si="24"/>
        <v>783.25</v>
      </c>
      <c r="E76" s="153">
        <f t="shared" si="25"/>
        <v>783.25</v>
      </c>
      <c r="F76" s="153">
        <f t="shared" si="26"/>
        <v>783.25</v>
      </c>
      <c r="I76" s="64">
        <v>756.42</v>
      </c>
      <c r="J76" s="64">
        <v>781.39</v>
      </c>
    </row>
    <row r="77" spans="1:10" x14ac:dyDescent="0.2">
      <c r="A77" s="66" t="s">
        <v>179</v>
      </c>
      <c r="B77" s="64">
        <v>13789.07</v>
      </c>
      <c r="C77" s="153">
        <f t="shared" ref="C77:F77" si="27">C58</f>
        <v>13789.07</v>
      </c>
      <c r="D77" s="153">
        <f t="shared" si="27"/>
        <v>13789.07</v>
      </c>
      <c r="E77" s="153">
        <f t="shared" si="27"/>
        <v>13789.07</v>
      </c>
      <c r="F77" s="153">
        <f t="shared" si="27"/>
        <v>13789.07</v>
      </c>
      <c r="I77" s="64">
        <f>I58</f>
        <v>13131.51</v>
      </c>
      <c r="J77" s="64">
        <v>13791.17</v>
      </c>
    </row>
    <row r="78" spans="1:10" x14ac:dyDescent="0.2">
      <c r="A78" s="66" t="s">
        <v>180</v>
      </c>
      <c r="B78" s="64">
        <v>24067.343615099999</v>
      </c>
      <c r="C78" s="153">
        <f t="shared" ref="C78:F78" si="28">C59</f>
        <v>24067.34</v>
      </c>
      <c r="D78" s="153">
        <f t="shared" si="28"/>
        <v>24067.34</v>
      </c>
      <c r="E78" s="153">
        <f t="shared" si="28"/>
        <v>24067.34</v>
      </c>
      <c r="F78" s="153">
        <f t="shared" si="28"/>
        <v>24067.34</v>
      </c>
      <c r="I78" s="64">
        <f>I59</f>
        <v>22919.65</v>
      </c>
      <c r="J78" s="64">
        <v>24071</v>
      </c>
    </row>
    <row r="79" spans="1:10" x14ac:dyDescent="0.2">
      <c r="A79" s="66" t="s">
        <v>181</v>
      </c>
      <c r="B79" s="64">
        <v>29732.152999826998</v>
      </c>
      <c r="C79" s="153">
        <f t="shared" ref="C79:F79" si="29">C60</f>
        <v>29732.15</v>
      </c>
      <c r="D79" s="153">
        <f t="shared" si="29"/>
        <v>29732.15</v>
      </c>
      <c r="E79" s="153">
        <f t="shared" si="29"/>
        <v>29732.15</v>
      </c>
      <c r="F79" s="153">
        <f t="shared" si="29"/>
        <v>29732.15</v>
      </c>
      <c r="I79" s="64">
        <f>I60</f>
        <v>28314.32</v>
      </c>
      <c r="J79" s="64">
        <v>29736.67</v>
      </c>
    </row>
    <row r="80" spans="1:10" x14ac:dyDescent="0.2">
      <c r="A80" s="66"/>
      <c r="B80" s="66"/>
      <c r="C80" s="66"/>
      <c r="D80" s="66"/>
      <c r="E80" s="66"/>
      <c r="F80" s="66"/>
      <c r="I80" s="66"/>
      <c r="J80" s="66"/>
    </row>
    <row r="81" spans="1:10" x14ac:dyDescent="0.2">
      <c r="A81" s="151" t="s">
        <v>169</v>
      </c>
      <c r="B81" s="63" t="str">
        <f>B1</f>
        <v>voorlopig / 
1e regeling</v>
      </c>
      <c r="C81" s="63" t="str">
        <f>C1</f>
        <v>indicatie</v>
      </c>
      <c r="D81" s="63" t="str">
        <f>D1</f>
        <v>indicatie</v>
      </c>
      <c r="E81" s="63" t="str">
        <f>E1</f>
        <v>indicatie</v>
      </c>
      <c r="F81" s="63" t="str">
        <f>F1</f>
        <v>indicatie</v>
      </c>
      <c r="I81" s="146">
        <v>2023</v>
      </c>
      <c r="J81" s="146"/>
    </row>
    <row r="82" spans="1:10" x14ac:dyDescent="0.2">
      <c r="A82" s="66" t="s">
        <v>170</v>
      </c>
      <c r="B82" s="156">
        <v>0.5</v>
      </c>
      <c r="C82" s="156">
        <v>0.25</v>
      </c>
      <c r="D82" s="156"/>
      <c r="E82" s="66"/>
      <c r="F82" s="66"/>
      <c r="I82" s="78">
        <v>0.75</v>
      </c>
      <c r="J82" s="78">
        <v>0.75</v>
      </c>
    </row>
    <row r="83" spans="1:10" x14ac:dyDescent="0.2">
      <c r="A83" s="152" t="s">
        <v>171</v>
      </c>
      <c r="B83" s="156">
        <v>-0.02</v>
      </c>
      <c r="C83" s="156">
        <v>-0.03</v>
      </c>
      <c r="D83" s="156"/>
      <c r="E83" s="66"/>
      <c r="F83" s="66"/>
      <c r="I83" s="79">
        <v>-0.01</v>
      </c>
      <c r="J83" s="79">
        <v>-0.01</v>
      </c>
    </row>
    <row r="84" spans="1:10" x14ac:dyDescent="0.2">
      <c r="A84" s="152" t="s">
        <v>172</v>
      </c>
      <c r="B84" s="156">
        <v>0.02</v>
      </c>
      <c r="C84" s="156">
        <v>0.03</v>
      </c>
      <c r="D84" s="156"/>
      <c r="E84" s="66"/>
      <c r="F84" s="66"/>
      <c r="I84" s="79">
        <v>0.01</v>
      </c>
      <c r="J84" s="79">
        <v>0.01</v>
      </c>
    </row>
    <row r="86" spans="1:10" x14ac:dyDescent="0.2">
      <c r="A86" s="69" t="s">
        <v>182</v>
      </c>
      <c r="B86" s="46">
        <v>100.03</v>
      </c>
      <c r="C86" s="46">
        <v>0</v>
      </c>
      <c r="D86" s="46">
        <f t="shared" ref="D86:F86" si="30">C86</f>
        <v>0</v>
      </c>
      <c r="E86" s="46">
        <f t="shared" si="30"/>
        <v>0</v>
      </c>
      <c r="F86" s="46">
        <f t="shared" si="30"/>
        <v>0</v>
      </c>
      <c r="I86" s="66">
        <v>100.03</v>
      </c>
      <c r="J86" s="66">
        <v>100.03</v>
      </c>
    </row>
    <row r="87" spans="1:10" x14ac:dyDescent="0.2">
      <c r="I87" s="66"/>
      <c r="J87" s="66"/>
    </row>
    <row r="88" spans="1:10" x14ac:dyDescent="0.2">
      <c r="A88" s="1" t="s">
        <v>204</v>
      </c>
      <c r="B88" s="90">
        <v>1.6000000000000001E-3</v>
      </c>
      <c r="C88" s="158">
        <v>1.6000000000000001E-3</v>
      </c>
      <c r="I88" s="66"/>
      <c r="J88" s="66"/>
    </row>
    <row r="89" spans="1:10" x14ac:dyDescent="0.2">
      <c r="I89" s="66"/>
      <c r="J89" s="66"/>
    </row>
  </sheetData>
  <sheetProtection algorithmName="SHA-512" hashValue="6dI3t7f2QUBr3WcjYdJrUYwfU/ly5rpZKHmiHLEy9eMQAFayMA/3v70kwA3Nm6cVbLWAI6oYBB3Ksbgs2q2Xdw==" saltValue="ClDqJgwo5Y7aDMZoOjk8jg==" spinCount="100000" sheet="1" objects="1" scenarios="1"/>
  <mergeCells count="6">
    <mergeCell ref="I2:J2"/>
    <mergeCell ref="I7:J7"/>
    <mergeCell ref="I30:J30"/>
    <mergeCell ref="I40:J40"/>
    <mergeCell ref="I66:J66"/>
    <mergeCell ref="I81:J81"/>
  </mergeCells>
  <hyperlinks>
    <hyperlink ref="I3" r:id="rId1" display="https://zoek.officielebekendmakingen.nl/stcrt-2022-27684.pdf" xr:uid="{91126C1D-FDEE-49F2-9B63-A756361B0C25}"/>
  </hyperlinks>
  <pageMargins left="0.7" right="0.7" top="0.75" bottom="0.75" header="0.3" footer="0.3"/>
  <pageSetup paperSize="9" scale="65" orientation="portrait"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e408a69-fb97-4716-8af1-a872e3f7f02e" xsi:nil="true"/>
    <lcf76f155ced4ddcb4097134ff3c332f xmlns="6168b6c1-e810-47fe-8163-bf9b9d31d68b">
      <Terms xmlns="http://schemas.microsoft.com/office/infopath/2007/PartnerControls"/>
    </lcf76f155ced4ddcb4097134ff3c332f>
    <SharedWithUsers xmlns="8e408a69-fb97-4716-8af1-a872e3f7f02e">
      <UserInfo>
        <DisplayName>Harm van Gerven</DisplayName>
        <AccountId>54</AccountId>
        <AccountType/>
      </UserInfo>
      <UserInfo>
        <DisplayName>Reinier Goedhart</DisplayName>
        <AccountId>35</AccountId>
        <AccountType/>
      </UserInfo>
    </SharedWithUsers>
    <MediaLengthInSeconds xmlns="6168b6c1-e810-47fe-8163-bf9b9d31d68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9A4239089D7904FAEE920AFD682F253" ma:contentTypeVersion="14" ma:contentTypeDescription="Een nieuw document maken." ma:contentTypeScope="" ma:versionID="3950f5fba55b1dd32f016ff8f3bb0797">
  <xsd:schema xmlns:xsd="http://www.w3.org/2001/XMLSchema" xmlns:xs="http://www.w3.org/2001/XMLSchema" xmlns:p="http://schemas.microsoft.com/office/2006/metadata/properties" xmlns:ns2="6168b6c1-e810-47fe-8163-bf9b9d31d68b" xmlns:ns3="8e408a69-fb97-4716-8af1-a872e3f7f02e" targetNamespace="http://schemas.microsoft.com/office/2006/metadata/properties" ma:root="true" ma:fieldsID="f930105adeb553d7ded149b7c654ab22" ns2:_="" ns3:_="">
    <xsd:import namespace="6168b6c1-e810-47fe-8163-bf9b9d31d68b"/>
    <xsd:import namespace="8e408a69-fb97-4716-8af1-a872e3f7f0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68b6c1-e810-47fe-8163-bf9b9d31d6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fbeeldingtags" ma:readOnly="false" ma:fieldId="{5cf76f15-5ced-4ddc-b409-7134ff3c332f}" ma:taxonomyMulti="true" ma:sspId="cb22535c-56a5-4bef-9c15-4c767476c03e"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408a69-fb97-4716-8af1-a872e3f7f02e"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element name="TaxCatchAll" ma:index="16" nillable="true" ma:displayName="Taxonomy Catch All Column" ma:hidden="true" ma:list="{18815cea-9793-4950-910a-e45689a6e2a6}" ma:internalName="TaxCatchAll" ma:showField="CatchAllData" ma:web="8e408a69-fb97-4716-8af1-a872e3f7f0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6A53DF-E77B-4787-B839-7D6E3E8AC994}">
  <ds:schemaRefs>
    <ds:schemaRef ds:uri="http://schemas.microsoft.com/sharepoint/v3/contenttype/forms"/>
  </ds:schemaRefs>
</ds:datastoreItem>
</file>

<file path=customXml/itemProps2.xml><?xml version="1.0" encoding="utf-8"?>
<ds:datastoreItem xmlns:ds="http://schemas.openxmlformats.org/officeDocument/2006/customXml" ds:itemID="{DD5D9699-B2B0-4C0E-BFB4-32F4C8EE1C90}">
  <ds:schemaRefs>
    <ds:schemaRef ds:uri="http://schemas.microsoft.com/office/2006/metadata/properties"/>
    <ds:schemaRef ds:uri="http://schemas.microsoft.com/office/infopath/2007/PartnerControls"/>
    <ds:schemaRef ds:uri="1ab89f6a-78e1-4f4c-a089-ae5d240465a2"/>
    <ds:schemaRef ds:uri="e80005dd-5a7c-45c7-9b2a-c96b9d0839b4"/>
    <ds:schemaRef ds:uri="8e408a69-fb97-4716-8af1-a872e3f7f02e"/>
    <ds:schemaRef ds:uri="6168b6c1-e810-47fe-8163-bf9b9d31d68b"/>
  </ds:schemaRefs>
</ds:datastoreItem>
</file>

<file path=customXml/itemProps3.xml><?xml version="1.0" encoding="utf-8"?>
<ds:datastoreItem xmlns:ds="http://schemas.openxmlformats.org/officeDocument/2006/customXml" ds:itemID="{406A1604-AC99-4C76-94C3-919D4C9440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68b6c1-e810-47fe-8163-bf9b9d31d68b"/>
    <ds:schemaRef ds:uri="8e408a69-fb97-4716-8af1-a872e3f7f0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INFO</vt:lpstr>
      <vt:lpstr>basisscholen 2023 overgangsreg.</vt:lpstr>
      <vt:lpstr>basisscholen 2024</vt:lpstr>
      <vt:lpstr>groei-bas</vt:lpstr>
      <vt:lpstr>aanv-bas</vt:lpstr>
      <vt:lpstr>aanv-sbo</vt:lpstr>
      <vt:lpstr>tab</vt:lpstr>
      <vt:lpstr>'aanv-bas'!Afdrukbereik</vt:lpstr>
      <vt:lpstr>'aanv-sbo'!Afdrukbereik</vt:lpstr>
      <vt:lpstr>'basisscholen 2023 overgangsreg.'!Afdrukbereik</vt:lpstr>
      <vt:lpstr>'basisscholen 2024'!Afdrukbereik</vt:lpstr>
      <vt:lpstr>'groei-bas'!Afdrukbereik</vt:lpstr>
      <vt:lpstr>INFO!Afdrukbereik</vt:lpstr>
      <vt:lpstr>tab!Afdrukbereik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Reinier Goedhart</dc:creator>
  <cp:keywords/>
  <dc:description/>
  <cp:lastModifiedBy>Kitty Attema</cp:lastModifiedBy>
  <cp:revision/>
  <cp:lastPrinted>2023-09-27T07:00:38Z</cp:lastPrinted>
  <dcterms:created xsi:type="dcterms:W3CDTF">2021-08-23T13:39:14Z</dcterms:created>
  <dcterms:modified xsi:type="dcterms:W3CDTF">2023-11-12T09:59:01Z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0x01010049A4239089D7904FAEE920AFD682F253</vt:lpwstr>
  </property>
  <property fmtid="{D5CDD505-2E9C-101B-9397-08002B2CF9AE}" pid="3" name="MediaServiceImageTags">
    <vt:lpwstr/>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xd_Signature">
    <vt:bool>false</vt:bool>
  </property>
</Properties>
</file>