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7.xml" ContentType="application/vnd.openxmlformats-officedocument.spreadsheetml.comments+xml"/>
  <Override PartName="/xl/comments8.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mc:AlternateContent xmlns:mc="http://schemas.openxmlformats.org/markup-compatibility/2006">
    <mc:Choice Requires="x15">
      <x15ac:absPath xmlns:x15ac="http://schemas.microsoft.com/office/spreadsheetml/2010/11/ac" url="T:\Infinite Projecten\PO-Raad Toolbox en helpdesk\Actualisatie 2021\"/>
    </mc:Choice>
  </mc:AlternateContent>
  <xr:revisionPtr revIDLastSave="0" documentId="13_ncr:1_{81FD3CAD-6A07-4D48-8BA9-BBF3A2F89B35}" xr6:coauthVersionLast="47" xr6:coauthVersionMax="47" xr10:uidLastSave="{00000000-0000-0000-0000-000000000000}"/>
  <bookViews>
    <workbookView xWindow="-108" yWindow="-108" windowWidth="23256" windowHeight="12576" tabRatio="855" xr2:uid="{00000000-000D-0000-FFFF-FFFF00000000}"/>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r:id="rId14"/>
    <sheet name="ken" sheetId="14" r:id="rId15"/>
    <sheet name="graf" sheetId="15" r:id="rId16"/>
    <sheet name="som" sheetId="16" r:id="rId17"/>
    <sheet name="tab" sheetId="19" r:id="rId18"/>
    <sheet name="saltab" sheetId="22" r:id="rId19"/>
    <sheet name="Module1" sheetId="18" state="veryHidden" r:id="rId20"/>
  </sheets>
  <definedNames>
    <definedName name="_xlnm._FilterDatabase" localSheetId="8" hidden="1">mip!$I$7:$I$146</definedName>
    <definedName name="_xlnm.Print_Area" localSheetId="9">act!$B$2:$M$56</definedName>
    <definedName name="_xlnm.Print_Area" localSheetId="12">bal!$B$2:$M$60</definedName>
    <definedName name="_xlnm.Print_Area" localSheetId="11">begr!$B$2:$M$54</definedName>
    <definedName name="_xlnm.Print_Area" localSheetId="10">beleid!$B$2:$V$69</definedName>
    <definedName name="_xlnm.Print_Area" localSheetId="3">dir!$B$2:$V$72</definedName>
    <definedName name="_xlnm.Print_Area" localSheetId="1">geg!$B$2:$M$81</definedName>
    <definedName name="_xlnm.Print_Area" localSheetId="15">graf!$B$2:$R$95</definedName>
    <definedName name="_xlnm.Print_Area" localSheetId="14">ken!$B$2:$L$80</definedName>
    <definedName name="_xlnm.Print_Area" localSheetId="13">liq!$B$2:$L$56</definedName>
    <definedName name="_xlnm.Print_Area" localSheetId="6">mat!$B$2:$O$184</definedName>
    <definedName name="_xlnm.Print_Area" localSheetId="8">mip!$B$2:$AH$150</definedName>
    <definedName name="_xlnm.Print_Area" localSheetId="7">mop!$B$2:$Q$32</definedName>
    <definedName name="_xlnm.Print_Area" localSheetId="5">obp!$B$2:$V$91</definedName>
    <definedName name="_xlnm.Print_Area" localSheetId="4">op!$B$2:$V$141</definedName>
    <definedName name="_xlnm.Print_Area" localSheetId="2">pers!$B$2:$O$146</definedName>
    <definedName name="_xlnm.Print_Area" localSheetId="18">saltab!$B$2:$W$101</definedName>
    <definedName name="_xlnm.Print_Area" localSheetId="16">som!$B$2:$L$70</definedName>
    <definedName name="_xlnm.Print_Area" localSheetId="17">tab!$A$1:$O$116</definedName>
    <definedName name="_xlnm.Print_Area" localSheetId="0">toel!$B$2:$P$165</definedName>
    <definedName name="groepenleerlingennu">tab!$A$66:$A$100</definedName>
    <definedName name="materieel2020">tab!$C$66:$D$115</definedName>
    <definedName name="materieel2021">tab!$H$66:$I$115</definedName>
    <definedName name="materieel2022">tab!$M$66:$N$115</definedName>
    <definedName name="regels2019">saltab!$W$4:$W$46</definedName>
    <definedName name="regels2020">saltab!$W$50:$W$101</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vloeroppervlaknu">tab!$B$66:$B$100</definedName>
  </definedNames>
  <calcPr calcId="191029" calcMode="autoNoTable"/>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24" i="22" l="1"/>
  <c r="C123" i="22"/>
  <c r="N59" i="19"/>
  <c r="M59" i="19"/>
  <c r="H21" i="7" l="1"/>
  <c r="K55" i="14" l="1"/>
  <c r="G65" i="16"/>
  <c r="H65" i="16"/>
  <c r="I65" i="16"/>
  <c r="J65" i="16"/>
  <c r="K65" i="16"/>
  <c r="F65" i="16"/>
  <c r="G45" i="16"/>
  <c r="G46" i="16"/>
  <c r="F45" i="16"/>
  <c r="F46" i="16"/>
  <c r="G24" i="16"/>
  <c r="H24" i="16"/>
  <c r="I24" i="16"/>
  <c r="J24" i="16"/>
  <c r="K24" i="16"/>
  <c r="G32" i="16"/>
  <c r="H32" i="16"/>
  <c r="I32" i="16"/>
  <c r="J32" i="16"/>
  <c r="K32" i="16"/>
  <c r="G33" i="16"/>
  <c r="H33" i="16"/>
  <c r="I33" i="16"/>
  <c r="J33" i="16"/>
  <c r="K33" i="16"/>
  <c r="F33" i="16"/>
  <c r="F32" i="16"/>
  <c r="F24" i="16"/>
  <c r="E305" i="6"/>
  <c r="E304" i="6"/>
  <c r="Z341" i="6"/>
  <c r="Z340" i="6"/>
  <c r="Z339" i="6"/>
  <c r="Z338" i="6"/>
  <c r="Z337" i="6"/>
  <c r="Z336" i="6"/>
  <c r="Z335" i="6"/>
  <c r="Z334" i="6"/>
  <c r="Z333" i="6"/>
  <c r="Z332" i="6"/>
  <c r="Z331" i="6"/>
  <c r="Z330" i="6"/>
  <c r="Z329" i="6"/>
  <c r="Z328" i="6"/>
  <c r="Z327" i="6"/>
  <c r="Z326" i="6"/>
  <c r="Z325" i="6"/>
  <c r="Z324" i="6"/>
  <c r="Z323" i="6"/>
  <c r="Z322" i="6"/>
  <c r="Z321" i="6"/>
  <c r="Z320" i="6"/>
  <c r="Z319" i="6"/>
  <c r="Z318" i="6"/>
  <c r="Z317" i="6"/>
  <c r="Z316" i="6"/>
  <c r="Z315" i="6"/>
  <c r="Z314" i="6"/>
  <c r="Z313" i="6"/>
  <c r="Z312" i="6"/>
  <c r="Z310" i="6"/>
  <c r="E263" i="6"/>
  <c r="E262" i="6"/>
  <c r="Z299" i="6"/>
  <c r="Z298" i="6"/>
  <c r="Z297" i="6"/>
  <c r="Z296" i="6"/>
  <c r="Z295" i="6"/>
  <c r="Z294" i="6"/>
  <c r="Z293" i="6"/>
  <c r="Z292" i="6"/>
  <c r="Z291" i="6"/>
  <c r="Z290" i="6"/>
  <c r="Z289" i="6"/>
  <c r="Z288" i="6"/>
  <c r="Z287" i="6"/>
  <c r="Z286" i="6"/>
  <c r="Z285" i="6"/>
  <c r="Z284" i="6"/>
  <c r="Z283" i="6"/>
  <c r="Z282" i="6"/>
  <c r="Z281" i="6"/>
  <c r="Z280" i="6"/>
  <c r="Z279" i="6"/>
  <c r="Z278" i="6"/>
  <c r="Z277" i="6"/>
  <c r="Z276" i="6"/>
  <c r="Z275" i="6"/>
  <c r="Z274" i="6"/>
  <c r="Z273" i="6"/>
  <c r="Z272" i="6"/>
  <c r="Z271" i="6"/>
  <c r="Z270" i="6"/>
  <c r="Z268" i="6"/>
  <c r="E413" i="5"/>
  <c r="E412" i="5"/>
  <c r="Z474" i="5"/>
  <c r="Z473" i="5"/>
  <c r="Z472" i="5"/>
  <c r="Z471" i="5"/>
  <c r="Z470" i="5"/>
  <c r="Z469" i="5"/>
  <c r="Z468" i="5"/>
  <c r="Z467" i="5"/>
  <c r="Z466" i="5"/>
  <c r="Z465" i="5"/>
  <c r="Z464" i="5"/>
  <c r="Z463" i="5"/>
  <c r="Z462" i="5"/>
  <c r="Z461" i="5"/>
  <c r="Z460" i="5"/>
  <c r="Z459" i="5"/>
  <c r="Z458" i="5"/>
  <c r="Z457" i="5"/>
  <c r="Z456" i="5"/>
  <c r="Z455" i="5"/>
  <c r="Z454" i="5"/>
  <c r="Z453" i="5"/>
  <c r="Z452" i="5"/>
  <c r="Z451" i="5"/>
  <c r="Z450" i="5"/>
  <c r="Z449" i="5"/>
  <c r="Z448" i="5"/>
  <c r="Z447" i="5"/>
  <c r="Z446" i="5"/>
  <c r="Z445" i="5"/>
  <c r="Z444" i="5"/>
  <c r="Z443" i="5"/>
  <c r="Z442" i="5"/>
  <c r="Z441" i="5"/>
  <c r="Z440" i="5"/>
  <c r="Z439" i="5"/>
  <c r="Z438" i="5"/>
  <c r="Z437" i="5"/>
  <c r="Z436" i="5"/>
  <c r="Z435" i="5"/>
  <c r="Z434" i="5"/>
  <c r="Z433" i="5"/>
  <c r="Z432" i="5"/>
  <c r="Z431" i="5"/>
  <c r="Z430" i="5"/>
  <c r="Z429" i="5"/>
  <c r="Z428" i="5"/>
  <c r="Z427" i="5"/>
  <c r="Z426" i="5"/>
  <c r="Z425" i="5"/>
  <c r="Z424" i="5"/>
  <c r="Z423" i="5"/>
  <c r="Z422" i="5"/>
  <c r="Z421" i="5"/>
  <c r="Z420" i="5"/>
  <c r="Z418" i="5"/>
  <c r="E164" i="4"/>
  <c r="E163" i="4"/>
  <c r="Z180" i="4"/>
  <c r="Z179" i="4"/>
  <c r="Z178" i="4"/>
  <c r="Z177" i="4"/>
  <c r="Z176" i="4"/>
  <c r="Z175" i="4"/>
  <c r="Z174" i="4"/>
  <c r="Z173" i="4"/>
  <c r="Z172" i="4"/>
  <c r="Z171" i="4"/>
  <c r="Z169" i="4"/>
  <c r="L38" i="11"/>
  <c r="L60" i="11"/>
  <c r="J56" i="16"/>
  <c r="K56" i="16"/>
  <c r="K57" i="16"/>
  <c r="K58" i="16"/>
  <c r="J59" i="16"/>
  <c r="K59" i="16"/>
  <c r="J60" i="16"/>
  <c r="K60" i="16"/>
  <c r="J61" i="16"/>
  <c r="K61" i="16"/>
  <c r="J66" i="16"/>
  <c r="K66" i="16"/>
  <c r="L39" i="10"/>
  <c r="L38" i="10"/>
  <c r="L36" i="10"/>
  <c r="L35" i="10"/>
  <c r="L34" i="10"/>
  <c r="L23" i="10"/>
  <c r="L24" i="10"/>
  <c r="L25" i="10"/>
  <c r="L26" i="10"/>
  <c r="L27" i="10"/>
  <c r="L28" i="10"/>
  <c r="L17" i="2"/>
  <c r="N8" i="3"/>
  <c r="N83" i="3" s="1"/>
  <c r="N25" i="3"/>
  <c r="N59" i="3"/>
  <c r="N165" i="3"/>
  <c r="J57" i="16" s="1"/>
  <c r="N9" i="7"/>
  <c r="N24" i="7"/>
  <c r="N53" i="7"/>
  <c r="N70" i="7"/>
  <c r="N193" i="7" s="1"/>
  <c r="N90" i="7"/>
  <c r="N106" i="7"/>
  <c r="N107" i="7"/>
  <c r="N108" i="7"/>
  <c r="N109" i="7"/>
  <c r="N110" i="7"/>
  <c r="N111" i="7"/>
  <c r="N119" i="7"/>
  <c r="N130" i="7" s="1"/>
  <c r="N172" i="7"/>
  <c r="N200" i="7" s="1"/>
  <c r="L72" i="11" s="1"/>
  <c r="N190" i="7"/>
  <c r="N194" i="7"/>
  <c r="N195" i="7"/>
  <c r="H27" i="2"/>
  <c r="I27" i="2" s="1"/>
  <c r="J27" i="2" s="1"/>
  <c r="K27" i="2" s="1"/>
  <c r="L27" i="2" s="1"/>
  <c r="N199" i="7" l="1"/>
  <c r="L71" i="11" s="1"/>
  <c r="L25" i="11"/>
  <c r="K30" i="16" s="1"/>
  <c r="L26" i="11"/>
  <c r="K31" i="16" s="1"/>
  <c r="L29" i="10"/>
  <c r="N113" i="7"/>
  <c r="N198" i="7" s="1"/>
  <c r="Q79" i="19"/>
  <c r="N66" i="19"/>
  <c r="M9" i="7"/>
  <c r="L9" i="7"/>
  <c r="K9" i="7"/>
  <c r="J9" i="7"/>
  <c r="I9" i="7"/>
  <c r="H9" i="7"/>
  <c r="K64" i="16" l="1"/>
  <c r="N201" i="7"/>
  <c r="L70" i="11"/>
  <c r="N176" i="7"/>
  <c r="J31" i="3"/>
  <c r="I31" i="3"/>
  <c r="H31" i="3"/>
  <c r="I91" i="3" l="1"/>
  <c r="D54" i="19"/>
  <c r="D52" i="19"/>
  <c r="I190" i="7" l="1"/>
  <c r="J190" i="7"/>
  <c r="K190" i="7"/>
  <c r="L190" i="7"/>
  <c r="M190" i="7"/>
  <c r="H190" i="7"/>
  <c r="I28" i="7"/>
  <c r="Z57" i="6"/>
  <c r="Z100" i="6"/>
  <c r="Z142" i="6"/>
  <c r="Z184" i="6"/>
  <c r="Z226" i="6"/>
  <c r="Z257" i="6"/>
  <c r="Z256" i="6"/>
  <c r="Z255" i="6"/>
  <c r="Z254" i="6"/>
  <c r="Z253" i="6"/>
  <c r="Z252" i="6"/>
  <c r="Z251" i="6"/>
  <c r="Z250" i="6"/>
  <c r="Z249" i="6"/>
  <c r="Z248" i="6"/>
  <c r="Z247" i="6"/>
  <c r="Z246" i="6"/>
  <c r="Z245" i="6"/>
  <c r="Z244" i="6"/>
  <c r="Z243" i="6"/>
  <c r="Z242" i="6"/>
  <c r="Z241" i="6"/>
  <c r="Z240" i="6"/>
  <c r="Z239" i="6"/>
  <c r="Z238" i="6"/>
  <c r="Z237" i="6"/>
  <c r="Z236" i="6"/>
  <c r="Z235" i="6"/>
  <c r="Z234" i="6"/>
  <c r="Z233" i="6"/>
  <c r="Z232" i="6"/>
  <c r="Z231" i="6"/>
  <c r="Z230" i="6"/>
  <c r="Z229" i="6"/>
  <c r="Z228" i="6"/>
  <c r="Z215" i="6"/>
  <c r="Z214" i="6"/>
  <c r="Z213" i="6"/>
  <c r="Z212" i="6"/>
  <c r="Z211" i="6"/>
  <c r="Z210" i="6"/>
  <c r="Z209" i="6"/>
  <c r="Z208" i="6"/>
  <c r="Z207" i="6"/>
  <c r="Z206" i="6"/>
  <c r="Z205" i="6"/>
  <c r="Z204" i="6"/>
  <c r="Z203" i="6"/>
  <c r="Z202" i="6"/>
  <c r="Z201" i="6"/>
  <c r="Z200" i="6"/>
  <c r="Z199" i="6"/>
  <c r="Z198" i="6"/>
  <c r="Z197" i="6"/>
  <c r="Z196" i="6"/>
  <c r="Z195" i="6"/>
  <c r="Z194" i="6"/>
  <c r="Z193" i="6"/>
  <c r="Z192" i="6"/>
  <c r="Z191" i="6"/>
  <c r="Z190" i="6"/>
  <c r="Z189" i="6"/>
  <c r="Z188" i="6"/>
  <c r="Z187" i="6"/>
  <c r="Z186" i="6"/>
  <c r="Z173" i="6"/>
  <c r="Z172" i="6"/>
  <c r="Z171" i="6"/>
  <c r="Z170" i="6"/>
  <c r="Z169" i="6"/>
  <c r="Z168" i="6"/>
  <c r="Z167" i="6"/>
  <c r="Z166" i="6"/>
  <c r="Z165" i="6"/>
  <c r="Z164" i="6"/>
  <c r="Z163" i="6"/>
  <c r="Z162" i="6"/>
  <c r="Z161" i="6"/>
  <c r="Z160" i="6"/>
  <c r="Z159" i="6"/>
  <c r="Z158" i="6"/>
  <c r="Z157" i="6"/>
  <c r="Z156" i="6"/>
  <c r="Z155" i="6"/>
  <c r="Z154" i="6"/>
  <c r="Z153" i="6"/>
  <c r="Z152" i="6"/>
  <c r="Z151" i="6"/>
  <c r="Z150" i="6"/>
  <c r="Z149" i="6"/>
  <c r="Z148" i="6"/>
  <c r="Z147" i="6"/>
  <c r="Z146" i="6"/>
  <c r="Z145" i="6"/>
  <c r="Z144" i="6"/>
  <c r="Z131" i="6"/>
  <c r="Z130" i="6"/>
  <c r="Z129" i="6"/>
  <c r="Z128" i="6"/>
  <c r="Z127" i="6"/>
  <c r="Z126" i="6"/>
  <c r="Z125" i="6"/>
  <c r="Z124" i="6"/>
  <c r="Z123" i="6"/>
  <c r="Z122" i="6"/>
  <c r="Z121" i="6"/>
  <c r="Z120" i="6"/>
  <c r="Z119" i="6"/>
  <c r="Z118" i="6"/>
  <c r="Z117" i="6"/>
  <c r="Z116" i="6"/>
  <c r="Z115" i="6"/>
  <c r="Z114" i="6"/>
  <c r="Z113" i="6"/>
  <c r="Z112" i="6"/>
  <c r="Z111" i="6"/>
  <c r="Z110" i="6"/>
  <c r="Z109" i="6"/>
  <c r="Z108" i="6"/>
  <c r="Z107" i="6"/>
  <c r="Z106" i="6"/>
  <c r="Z105" i="6"/>
  <c r="Z104" i="6"/>
  <c r="Z103" i="6"/>
  <c r="Z102"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59" i="6"/>
  <c r="AF45" i="6"/>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AF16" i="6"/>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38" i="4"/>
  <c r="AF17" i="4"/>
  <c r="AF18" i="4"/>
  <c r="AF19" i="4"/>
  <c r="AF20" i="4"/>
  <c r="AF21" i="4"/>
  <c r="AF22" i="4"/>
  <c r="AF23" i="4"/>
  <c r="AF24" i="4"/>
  <c r="AF25" i="4"/>
  <c r="AF16" i="4"/>
  <c r="F52" i="2"/>
  <c r="I30" i="3" l="1"/>
  <c r="I27" i="3"/>
  <c r="I26" i="3"/>
  <c r="M25" i="3"/>
  <c r="L25" i="3"/>
  <c r="K25" i="3"/>
  <c r="J25" i="3"/>
  <c r="I25" i="3"/>
  <c r="I22" i="3"/>
  <c r="H22" i="3"/>
  <c r="P73" i="19"/>
  <c r="P74" i="19" s="1"/>
  <c r="P75" i="19" s="1"/>
  <c r="P76" i="19" s="1"/>
  <c r="P77" i="19" s="1"/>
  <c r="P78" i="19" s="1"/>
  <c r="P79" i="19" s="1"/>
  <c r="P80" i="19" s="1"/>
  <c r="P81" i="19" s="1"/>
  <c r="P82" i="19" s="1"/>
  <c r="P83" i="19" s="1"/>
  <c r="P84" i="19" s="1"/>
  <c r="P85" i="19" s="1"/>
  <c r="P86" i="19" s="1"/>
  <c r="P87" i="19" s="1"/>
  <c r="P88" i="19" s="1"/>
  <c r="P89" i="19" s="1"/>
  <c r="P90" i="19" s="1"/>
  <c r="P91" i="19" s="1"/>
  <c r="P92" i="19" s="1"/>
  <c r="P93" i="19" s="1"/>
  <c r="P94" i="19" s="1"/>
  <c r="P95" i="19" s="1"/>
  <c r="P96" i="19" s="1"/>
  <c r="P97" i="19" s="1"/>
  <c r="P98" i="19" s="1"/>
  <c r="P99" i="19" s="1"/>
  <c r="P100" i="19" s="1"/>
  <c r="P101" i="19" s="1"/>
  <c r="P102" i="19" s="1"/>
  <c r="P103" i="19" s="1"/>
  <c r="P104" i="19" s="1"/>
  <c r="P105" i="19" s="1"/>
  <c r="P106" i="19" s="1"/>
  <c r="P107" i="19" s="1"/>
  <c r="P108" i="19" s="1"/>
  <c r="P109" i="19" s="1"/>
  <c r="P110" i="19" s="1"/>
  <c r="P111" i="19" s="1"/>
  <c r="P112" i="19" s="1"/>
  <c r="P113" i="19" s="1"/>
  <c r="P114" i="19" s="1"/>
  <c r="P115" i="19" s="1"/>
  <c r="N72" i="19"/>
  <c r="O71" i="19"/>
  <c r="O70" i="19"/>
  <c r="O69" i="19"/>
  <c r="O68" i="19"/>
  <c r="C52" i="19"/>
  <c r="C53" i="19"/>
  <c r="C55" i="19" s="1"/>
  <c r="C31" i="19"/>
  <c r="C32" i="19"/>
  <c r="C33" i="19"/>
  <c r="C22" i="19"/>
  <c r="C23" i="19"/>
  <c r="C24" i="19"/>
  <c r="C25" i="19"/>
  <c r="C26" i="19"/>
  <c r="C27" i="19"/>
  <c r="C21" i="19"/>
  <c r="N73" i="19" l="1"/>
  <c r="O73" i="19" s="1"/>
  <c r="C34" i="19"/>
  <c r="O72" i="19"/>
  <c r="N74" i="19" l="1"/>
  <c r="O74" i="19" s="1"/>
  <c r="G55" i="14"/>
  <c r="H55" i="14"/>
  <c r="I55" i="14"/>
  <c r="J55" i="14"/>
  <c r="F55" i="14"/>
  <c r="L65" i="21"/>
  <c r="L64" i="21"/>
  <c r="L63" i="21"/>
  <c r="L62" i="21"/>
  <c r="L61" i="21"/>
  <c r="L60" i="21"/>
  <c r="L53" i="21"/>
  <c r="L52" i="21"/>
  <c r="L51" i="21"/>
  <c r="L50" i="21"/>
  <c r="L49" i="21"/>
  <c r="L48" i="21"/>
  <c r="L41" i="21"/>
  <c r="L40" i="21"/>
  <c r="L39" i="21"/>
  <c r="L38" i="21"/>
  <c r="L37" i="21"/>
  <c r="L36" i="21"/>
  <c r="L29" i="21"/>
  <c r="L28" i="21"/>
  <c r="L27" i="21"/>
  <c r="L26" i="21"/>
  <c r="L25" i="21"/>
  <c r="L24" i="21"/>
  <c r="L13" i="21"/>
  <c r="L14" i="21"/>
  <c r="L15" i="21"/>
  <c r="L16" i="21"/>
  <c r="L17" i="21"/>
  <c r="Z158" i="4"/>
  <c r="Z157" i="4"/>
  <c r="Z156" i="4"/>
  <c r="Z155" i="4"/>
  <c r="Z154" i="4"/>
  <c r="Z153" i="4"/>
  <c r="Z152" i="4"/>
  <c r="Z151" i="4"/>
  <c r="Z150" i="4"/>
  <c r="Z149" i="4"/>
  <c r="Z147" i="4"/>
  <c r="Z136" i="4"/>
  <c r="Z135" i="4"/>
  <c r="Z134" i="4"/>
  <c r="Z133" i="4"/>
  <c r="Z132" i="4"/>
  <c r="Z131" i="4"/>
  <c r="Z130" i="4"/>
  <c r="Z129" i="4"/>
  <c r="Z128" i="4"/>
  <c r="Z127" i="4"/>
  <c r="Z125" i="4"/>
  <c r="Z114" i="4"/>
  <c r="Z113" i="4"/>
  <c r="Z112" i="4"/>
  <c r="Z111" i="4"/>
  <c r="Z110" i="4"/>
  <c r="Z109" i="4"/>
  <c r="Z108" i="4"/>
  <c r="Z107" i="4"/>
  <c r="Z106" i="4"/>
  <c r="Z105" i="4"/>
  <c r="Z103" i="4"/>
  <c r="Z92" i="4"/>
  <c r="Z91" i="4"/>
  <c r="Z90" i="4"/>
  <c r="Z89" i="4"/>
  <c r="Z88" i="4"/>
  <c r="Z87" i="4"/>
  <c r="Z86" i="4"/>
  <c r="Z85" i="4"/>
  <c r="Z84" i="4"/>
  <c r="Z83" i="4"/>
  <c r="Z81" i="4"/>
  <c r="Z70" i="4"/>
  <c r="Z69" i="4"/>
  <c r="Z68" i="4"/>
  <c r="Z67" i="4"/>
  <c r="Z66" i="4"/>
  <c r="Z65" i="4"/>
  <c r="Z64" i="4"/>
  <c r="Z63" i="4"/>
  <c r="Z62" i="4"/>
  <c r="Z61" i="4"/>
  <c r="Z59" i="4"/>
  <c r="Z47" i="4"/>
  <c r="Z46" i="4"/>
  <c r="Z45" i="4"/>
  <c r="Z44" i="4"/>
  <c r="Z43" i="4"/>
  <c r="Z42" i="4"/>
  <c r="Z41" i="4"/>
  <c r="Z40" i="4"/>
  <c r="Z39" i="4"/>
  <c r="Z38" i="4"/>
  <c r="Z36" i="4"/>
  <c r="Z14" i="4"/>
  <c r="Z17" i="4"/>
  <c r="Z18" i="4"/>
  <c r="Z19" i="4"/>
  <c r="Z20" i="4"/>
  <c r="Z21" i="4"/>
  <c r="Z22" i="4"/>
  <c r="Z23" i="4"/>
  <c r="Z24" i="4"/>
  <c r="Z25" i="4"/>
  <c r="Z16" i="4"/>
  <c r="H31" i="7"/>
  <c r="H29" i="7"/>
  <c r="H28" i="7"/>
  <c r="I17" i="7"/>
  <c r="H18" i="7"/>
  <c r="H17" i="7"/>
  <c r="E142" i="4"/>
  <c r="E141" i="4"/>
  <c r="H38" i="3"/>
  <c r="H30" i="3"/>
  <c r="H27" i="3"/>
  <c r="H26" i="3"/>
  <c r="H25" i="3"/>
  <c r="Y341"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I8" i="3"/>
  <c r="J8" i="3"/>
  <c r="K8" i="3"/>
  <c r="L8" i="3"/>
  <c r="M8" i="3"/>
  <c r="H8" i="3"/>
  <c r="G17" i="2"/>
  <c r="H17" i="2"/>
  <c r="I17" i="2"/>
  <c r="J17" i="2"/>
  <c r="K17" i="2"/>
  <c r="F17" i="2"/>
  <c r="Y16" i="6"/>
  <c r="Y16" i="5"/>
  <c r="Z407" i="5"/>
  <c r="Z406" i="5"/>
  <c r="Z405" i="5"/>
  <c r="Z404" i="5"/>
  <c r="Z403" i="5"/>
  <c r="Z402" i="5"/>
  <c r="Z401" i="5"/>
  <c r="Z400" i="5"/>
  <c r="Z399" i="5"/>
  <c r="Z398" i="5"/>
  <c r="Z397" i="5"/>
  <c r="Z396" i="5"/>
  <c r="Z395" i="5"/>
  <c r="Z394" i="5"/>
  <c r="Z393" i="5"/>
  <c r="Z392" i="5"/>
  <c r="Z391" i="5"/>
  <c r="Z390" i="5"/>
  <c r="Z389" i="5"/>
  <c r="Z388" i="5"/>
  <c r="Z387" i="5"/>
  <c r="Z386" i="5"/>
  <c r="Z385" i="5"/>
  <c r="Z384" i="5"/>
  <c r="Z383" i="5"/>
  <c r="Z382" i="5"/>
  <c r="Z381" i="5"/>
  <c r="Z380" i="5"/>
  <c r="Z379" i="5"/>
  <c r="Z378" i="5"/>
  <c r="Z377" i="5"/>
  <c r="Z376" i="5"/>
  <c r="Z375" i="5"/>
  <c r="Z374" i="5"/>
  <c r="Z373" i="5"/>
  <c r="Z372" i="5"/>
  <c r="Z371" i="5"/>
  <c r="Z370" i="5"/>
  <c r="Z369" i="5"/>
  <c r="Z368" i="5"/>
  <c r="Z367" i="5"/>
  <c r="Z366" i="5"/>
  <c r="Z365" i="5"/>
  <c r="Z364" i="5"/>
  <c r="Z363" i="5"/>
  <c r="Z362" i="5"/>
  <c r="Z361" i="5"/>
  <c r="Z360" i="5"/>
  <c r="Z359" i="5"/>
  <c r="Z358" i="5"/>
  <c r="Z357" i="5"/>
  <c r="Z356" i="5"/>
  <c r="Z355" i="5"/>
  <c r="Z354" i="5"/>
  <c r="Z353" i="5"/>
  <c r="Z351" i="5"/>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17"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152" i="5"/>
  <c r="Z150"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84" i="5"/>
  <c r="Z82"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16" i="5"/>
  <c r="Z14" i="5"/>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16" i="6"/>
  <c r="Z14"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E346" i="5"/>
  <c r="E345" i="5"/>
  <c r="E279" i="5"/>
  <c r="E278" i="5"/>
  <c r="Y17" i="4"/>
  <c r="Y18" i="4"/>
  <c r="Y19" i="4"/>
  <c r="Y20" i="4"/>
  <c r="Y21" i="4"/>
  <c r="Y22" i="4"/>
  <c r="Y23" i="4"/>
  <c r="Y24" i="4"/>
  <c r="Y25" i="4"/>
  <c r="Y16" i="4"/>
  <c r="E9" i="4"/>
  <c r="E8" i="4"/>
  <c r="W140" i="22"/>
  <c r="W139" i="22"/>
  <c r="W138" i="22"/>
  <c r="W137" i="22"/>
  <c r="W136" i="22"/>
  <c r="W135" i="22"/>
  <c r="W134" i="22"/>
  <c r="W133" i="22"/>
  <c r="W132" i="22"/>
  <c r="W131" i="22"/>
  <c r="W130" i="22"/>
  <c r="W129" i="22"/>
  <c r="W128" i="22"/>
  <c r="W127" i="22"/>
  <c r="W126" i="22"/>
  <c r="W125" i="22"/>
  <c r="W124" i="22"/>
  <c r="W123" i="22"/>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L12" i="21" l="1"/>
  <c r="N75" i="19"/>
  <c r="N76" i="19" s="1"/>
  <c r="B21" i="19"/>
  <c r="O75" i="19" l="1"/>
  <c r="N77" i="19"/>
  <c r="O76" i="19"/>
  <c r="K32" i="3"/>
  <c r="L32" i="3" s="1"/>
  <c r="M32" i="3" s="1"/>
  <c r="N32" i="3" s="1"/>
  <c r="N78" i="19" l="1"/>
  <c r="O77" i="19"/>
  <c r="F21" i="16"/>
  <c r="F20" i="16"/>
  <c r="F19" i="16"/>
  <c r="O78" i="19" l="1"/>
  <c r="N79" i="19"/>
  <c r="I60" i="19"/>
  <c r="N61" i="19"/>
  <c r="H60" i="19"/>
  <c r="I31" i="7" l="1"/>
  <c r="N18" i="7"/>
  <c r="K18" i="7"/>
  <c r="M18" i="7"/>
  <c r="L18" i="7"/>
  <c r="J18" i="7"/>
  <c r="O79" i="19"/>
  <c r="N80" i="19"/>
  <c r="I29" i="7"/>
  <c r="I18" i="7"/>
  <c r="N81" i="19" l="1"/>
  <c r="O80" i="19"/>
  <c r="O81" i="19" l="1"/>
  <c r="N82" i="19"/>
  <c r="O82" i="19" l="1"/>
  <c r="N83" i="19"/>
  <c r="O83" i="19" l="1"/>
  <c r="N84" i="19"/>
  <c r="N85" i="19" l="1"/>
  <c r="O84" i="19"/>
  <c r="O85" i="19" l="1"/>
  <c r="N86" i="19"/>
  <c r="O86" i="19" l="1"/>
  <c r="N87" i="19"/>
  <c r="N88" i="19" l="1"/>
  <c r="O87" i="19"/>
  <c r="N89" i="19" l="1"/>
  <c r="O88" i="19"/>
  <c r="N90" i="19" l="1"/>
  <c r="O89" i="19"/>
  <c r="O90" i="19" l="1"/>
  <c r="N91" i="19"/>
  <c r="O91" i="19" l="1"/>
  <c r="N92" i="19"/>
  <c r="N93" i="19" l="1"/>
  <c r="O92" i="19"/>
  <c r="O93" i="19" l="1"/>
  <c r="N94" i="19"/>
  <c r="O94" i="19" l="1"/>
  <c r="N95" i="19"/>
  <c r="N96" i="19" l="1"/>
  <c r="O95" i="19"/>
  <c r="N97" i="19" l="1"/>
  <c r="O96" i="19"/>
  <c r="O97" i="19" l="1"/>
  <c r="N98" i="19"/>
  <c r="O98" i="19" l="1"/>
  <c r="N99" i="19"/>
  <c r="N100" i="19" l="1"/>
  <c r="O99" i="19"/>
  <c r="N101" i="19" l="1"/>
  <c r="O100" i="19"/>
  <c r="O101" i="19" l="1"/>
  <c r="N102" i="19"/>
  <c r="O102" i="19" l="1"/>
  <c r="N103" i="19"/>
  <c r="N104" i="19" l="1"/>
  <c r="O103" i="19"/>
  <c r="N105" i="19" l="1"/>
  <c r="O104" i="19"/>
  <c r="O105" i="19" l="1"/>
  <c r="N106" i="19"/>
  <c r="O106" i="19" l="1"/>
  <c r="N107" i="19"/>
  <c r="N108" i="19" l="1"/>
  <c r="O107" i="19"/>
  <c r="N109" i="19" l="1"/>
  <c r="O108" i="19"/>
  <c r="O109" i="19" l="1"/>
  <c r="N110" i="19"/>
  <c r="O110" i="19" l="1"/>
  <c r="N111" i="19"/>
  <c r="N112" i="19" l="1"/>
  <c r="O111" i="19"/>
  <c r="N113" i="19" l="1"/>
  <c r="O112" i="19"/>
  <c r="O113" i="19" l="1"/>
  <c r="N114" i="19"/>
  <c r="O114" i="19" l="1"/>
  <c r="N115" i="19"/>
  <c r="O115" i="19" s="1"/>
  <c r="B52" i="19" l="1"/>
  <c r="B53" i="19"/>
  <c r="B55" i="19" s="1"/>
  <c r="B31" i="19"/>
  <c r="H36" i="3" s="1"/>
  <c r="B32" i="19"/>
  <c r="H37" i="3" s="1"/>
  <c r="B33" i="19"/>
  <c r="B22" i="19"/>
  <c r="B23" i="19"/>
  <c r="B24" i="19"/>
  <c r="B25" i="19"/>
  <c r="B26" i="19"/>
  <c r="H20" i="3" l="1"/>
  <c r="H21" i="3"/>
  <c r="H19" i="3"/>
  <c r="B34" i="19"/>
  <c r="G60" i="11" l="1"/>
  <c r="H60" i="11"/>
  <c r="I60" i="11"/>
  <c r="J60" i="11"/>
  <c r="K60" i="11"/>
  <c r="G31" i="2"/>
  <c r="I38" i="3" s="1"/>
  <c r="M59" i="3"/>
  <c r="M83" i="3"/>
  <c r="M165" i="3"/>
  <c r="I57" i="16" s="1"/>
  <c r="M194" i="7"/>
  <c r="I24" i="7"/>
  <c r="J24" i="7"/>
  <c r="K24" i="7"/>
  <c r="L24" i="7"/>
  <c r="M24" i="7"/>
  <c r="I53" i="7"/>
  <c r="J53" i="7"/>
  <c r="K53" i="7"/>
  <c r="L53" i="7"/>
  <c r="M53" i="7"/>
  <c r="I70" i="7"/>
  <c r="J70" i="7"/>
  <c r="K70" i="7"/>
  <c r="L70" i="7"/>
  <c r="M70" i="7"/>
  <c r="M193" i="7" s="1"/>
  <c r="I90" i="7"/>
  <c r="J90" i="7"/>
  <c r="K90" i="7"/>
  <c r="L90" i="7"/>
  <c r="K195" i="7" s="1"/>
  <c r="M90" i="7"/>
  <c r="M195" i="7" s="1"/>
  <c r="I119" i="7"/>
  <c r="I130" i="7" s="1"/>
  <c r="J119" i="7"/>
  <c r="J130" i="7" s="1"/>
  <c r="K119" i="7"/>
  <c r="K130" i="7" s="1"/>
  <c r="L119" i="7"/>
  <c r="L130" i="7" s="1"/>
  <c r="M119" i="7"/>
  <c r="M130" i="7" s="1"/>
  <c r="M199" i="7" s="1"/>
  <c r="I172" i="7"/>
  <c r="J172" i="7"/>
  <c r="K172" i="7"/>
  <c r="L172" i="7"/>
  <c r="M172" i="7"/>
  <c r="M200" i="7" s="1"/>
  <c r="L193" i="7"/>
  <c r="I194" i="7"/>
  <c r="J194" i="7"/>
  <c r="K194" i="7"/>
  <c r="L194" i="7"/>
  <c r="K200" i="7" l="1"/>
  <c r="J200" i="7"/>
  <c r="J193" i="7"/>
  <c r="I193" i="7"/>
  <c r="L200" i="7"/>
  <c r="I200" i="7"/>
  <c r="K193" i="7"/>
  <c r="L195" i="7"/>
  <c r="I195" i="7"/>
  <c r="I199" i="7"/>
  <c r="J199" i="7"/>
  <c r="L199" i="7"/>
  <c r="K199" i="7"/>
  <c r="J195" i="7"/>
  <c r="E120" i="4" l="1"/>
  <c r="E119" i="4"/>
  <c r="E98" i="4"/>
  <c r="E212" i="5" s="1"/>
  <c r="E97" i="4"/>
  <c r="E211" i="5" s="1"/>
  <c r="E76" i="4"/>
  <c r="E145" i="5" s="1"/>
  <c r="E75" i="4"/>
  <c r="E144" i="5" s="1"/>
  <c r="E54" i="4"/>
  <c r="E77" i="5" s="1"/>
  <c r="E53" i="4"/>
  <c r="E76" i="5" s="1"/>
  <c r="E30" i="4"/>
  <c r="F13" i="8" l="1"/>
  <c r="F8" i="12"/>
  <c r="P8" i="9"/>
  <c r="F8" i="11"/>
  <c r="F8" i="10"/>
  <c r="I9" i="3"/>
  <c r="I10" i="3" s="1"/>
  <c r="G18" i="2"/>
  <c r="G19" i="2" s="1"/>
  <c r="H8" i="7"/>
  <c r="C4" i="19"/>
  <c r="G52" i="2" s="1"/>
  <c r="C57" i="19"/>
  <c r="G8" i="11" l="1"/>
  <c r="G8" i="12"/>
  <c r="F8" i="14" s="1"/>
  <c r="H18" i="2"/>
  <c r="H19" i="2" s="1"/>
  <c r="J9" i="3"/>
  <c r="J10" i="3" s="1"/>
  <c r="I8" i="7"/>
  <c r="F16" i="16"/>
  <c r="H57" i="19"/>
  <c r="H63" i="19" s="1"/>
  <c r="D4" i="19"/>
  <c r="M57" i="19" l="1"/>
  <c r="M63" i="19" s="1"/>
  <c r="H52" i="2"/>
  <c r="G9" i="13"/>
  <c r="H8" i="11"/>
  <c r="H8" i="12"/>
  <c r="G8" i="14" s="1"/>
  <c r="I10" i="7"/>
  <c r="I101" i="7"/>
  <c r="K9" i="3"/>
  <c r="K10" i="3" s="1"/>
  <c r="J8" i="7"/>
  <c r="I18" i="2"/>
  <c r="I19" i="2" s="1"/>
  <c r="E4" i="19"/>
  <c r="I52" i="2" s="1"/>
  <c r="Y26" i="4"/>
  <c r="AA26" i="4" s="1"/>
  <c r="H9" i="13" l="1"/>
  <c r="I8" i="12"/>
  <c r="I9" i="13" s="1"/>
  <c r="I8" i="11"/>
  <c r="J10" i="7"/>
  <c r="J101" i="7"/>
  <c r="K8" i="7"/>
  <c r="J18" i="2"/>
  <c r="J19" i="2" s="1"/>
  <c r="L9" i="3"/>
  <c r="L10" i="3" s="1"/>
  <c r="F4" i="19"/>
  <c r="J52" i="2" s="1"/>
  <c r="H8" i="14" l="1"/>
  <c r="J8" i="12"/>
  <c r="J9" i="13" s="1"/>
  <c r="J8" i="11"/>
  <c r="K10" i="7"/>
  <c r="K101" i="7"/>
  <c r="M9" i="3"/>
  <c r="M10" i="3" s="1"/>
  <c r="K18" i="2"/>
  <c r="K19" i="2" s="1"/>
  <c r="L8" i="7"/>
  <c r="G4" i="19"/>
  <c r="E39" i="4"/>
  <c r="H39" i="4"/>
  <c r="J39" i="4"/>
  <c r="I39" i="4" s="1"/>
  <c r="K52" i="2" l="1"/>
  <c r="N9" i="3"/>
  <c r="N10" i="3" s="1"/>
  <c r="L18" i="2"/>
  <c r="L19" i="2" s="1"/>
  <c r="I8" i="14"/>
  <c r="AF39" i="4"/>
  <c r="Y39" i="4"/>
  <c r="K8" i="11"/>
  <c r="K8" i="12"/>
  <c r="J8" i="14" s="1"/>
  <c r="L10" i="7"/>
  <c r="L101" i="7"/>
  <c r="H4" i="19"/>
  <c r="M8" i="7"/>
  <c r="K34" i="10"/>
  <c r="M106" i="7" s="1"/>
  <c r="K35" i="10"/>
  <c r="M107" i="7" s="1"/>
  <c r="K38" i="10"/>
  <c r="M110" i="7" s="1"/>
  <c r="K39" i="10"/>
  <c r="M111" i="7" s="1"/>
  <c r="E221" i="6"/>
  <c r="K25" i="11"/>
  <c r="J30" i="16" s="1"/>
  <c r="K26" i="11"/>
  <c r="J31" i="16" s="1"/>
  <c r="K38" i="11"/>
  <c r="K71" i="11"/>
  <c r="K72" i="11"/>
  <c r="K23" i="10"/>
  <c r="K24" i="10"/>
  <c r="K27" i="10"/>
  <c r="K28" i="10"/>
  <c r="L8" i="11" l="1"/>
  <c r="L52" i="2"/>
  <c r="L8" i="12"/>
  <c r="K8" i="14" s="1"/>
  <c r="N8" i="7"/>
  <c r="M10" i="7"/>
  <c r="M101" i="7"/>
  <c r="E220" i="6"/>
  <c r="K11" i="14" l="1"/>
  <c r="K21" i="14"/>
  <c r="K40" i="14"/>
  <c r="K63" i="14"/>
  <c r="N10" i="7"/>
  <c r="N101" i="7"/>
  <c r="E38" i="4"/>
  <c r="A101" i="19" l="1"/>
  <c r="A102" i="19" s="1"/>
  <c r="A103" i="19" s="1"/>
  <c r="A104" i="19" s="1"/>
  <c r="A105" i="19" s="1"/>
  <c r="B101" i="19"/>
  <c r="B102" i="19" s="1"/>
  <c r="B103" i="19" s="1"/>
  <c r="B104" i="19" s="1"/>
  <c r="B105" i="19" s="1"/>
  <c r="B106" i="19" s="1"/>
  <c r="B107" i="19" s="1"/>
  <c r="B108" i="19" s="1"/>
  <c r="B109" i="19" s="1"/>
  <c r="B110" i="19" s="1"/>
  <c r="B111" i="19" s="1"/>
  <c r="B112" i="19" s="1"/>
  <c r="B113" i="19" s="1"/>
  <c r="B114" i="19" s="1"/>
  <c r="B115" i="19" s="1"/>
  <c r="R66" i="21"/>
  <c r="O66" i="21"/>
  <c r="T65" i="21"/>
  <c r="T64" i="21"/>
  <c r="T63" i="21"/>
  <c r="T62" i="21"/>
  <c r="T61" i="21"/>
  <c r="T60" i="21"/>
  <c r="L66" i="21" l="1"/>
  <c r="T66" i="21" s="1"/>
  <c r="F39" i="13" l="1"/>
  <c r="F38" i="13"/>
  <c r="F25" i="13"/>
  <c r="F24" i="13"/>
  <c r="F23" i="13"/>
  <c r="F12" i="13"/>
  <c r="M88" i="6" l="1"/>
  <c r="L88" i="6"/>
  <c r="M87" i="6"/>
  <c r="L87" i="6"/>
  <c r="M86" i="6"/>
  <c r="L86" i="6"/>
  <c r="M85"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47" i="4"/>
  <c r="L47" i="4"/>
  <c r="M46" i="4"/>
  <c r="L46" i="4"/>
  <c r="M45" i="4"/>
  <c r="L45" i="4"/>
  <c r="M44" i="4"/>
  <c r="L44" i="4"/>
  <c r="M43" i="4"/>
  <c r="L43" i="4"/>
  <c r="M42" i="4"/>
  <c r="L42" i="4"/>
  <c r="M41" i="4"/>
  <c r="L41" i="4"/>
  <c r="M40" i="4"/>
  <c r="L40" i="4"/>
  <c r="M39" i="4"/>
  <c r="L39" i="4"/>
  <c r="M38" i="4"/>
  <c r="L38" i="4"/>
  <c r="R45" i="6" l="1"/>
  <c r="R44" i="6"/>
  <c r="R43" i="6"/>
  <c r="R42" i="6"/>
  <c r="R41" i="6"/>
  <c r="R40" i="6"/>
  <c r="R39" i="6"/>
  <c r="R38" i="6"/>
  <c r="R37" i="6"/>
  <c r="R36" i="6"/>
  <c r="R35" i="6"/>
  <c r="R34" i="6"/>
  <c r="R33" i="6"/>
  <c r="R32" i="6"/>
  <c r="R31" i="6"/>
  <c r="R30" i="6"/>
  <c r="R29" i="6"/>
  <c r="R28" i="6"/>
  <c r="R27" i="6"/>
  <c r="R26" i="6"/>
  <c r="R25" i="6"/>
  <c r="R24" i="6"/>
  <c r="R23" i="6"/>
  <c r="R22" i="6"/>
  <c r="R21" i="6"/>
  <c r="R20" i="6"/>
  <c r="R19" i="6"/>
  <c r="R18" i="6"/>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25" i="4"/>
  <c r="R24" i="4"/>
  <c r="R23" i="4"/>
  <c r="R22" i="4"/>
  <c r="R21" i="4"/>
  <c r="R20" i="4"/>
  <c r="R19" i="4"/>
  <c r="R18" i="4"/>
  <c r="R17" i="4"/>
  <c r="L59" i="3" l="1"/>
  <c r="AE88" i="6" l="1"/>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45" i="6"/>
  <c r="AA45" i="6"/>
  <c r="T45" i="6"/>
  <c r="S45" i="6"/>
  <c r="P45" i="6"/>
  <c r="N45" i="6"/>
  <c r="AD45" i="6" s="1"/>
  <c r="AE44" i="6"/>
  <c r="T44" i="6"/>
  <c r="S44" i="6"/>
  <c r="P44" i="6"/>
  <c r="N44" i="6"/>
  <c r="AD44" i="6" s="1"/>
  <c r="AE43" i="6"/>
  <c r="AA43" i="6"/>
  <c r="T43" i="6"/>
  <c r="S43" i="6"/>
  <c r="P43" i="6"/>
  <c r="N43" i="6"/>
  <c r="AD43" i="6" s="1"/>
  <c r="AE42" i="6"/>
  <c r="T42" i="6"/>
  <c r="S42" i="6"/>
  <c r="P42" i="6"/>
  <c r="N42" i="6"/>
  <c r="AD42" i="6" s="1"/>
  <c r="AE41" i="6"/>
  <c r="AA41" i="6"/>
  <c r="T41" i="6"/>
  <c r="S41" i="6"/>
  <c r="P41" i="6"/>
  <c r="N41" i="6"/>
  <c r="AD41" i="6" s="1"/>
  <c r="AE40" i="6"/>
  <c r="T40" i="6"/>
  <c r="S40" i="6"/>
  <c r="P40" i="6"/>
  <c r="N40" i="6"/>
  <c r="AD40" i="6" s="1"/>
  <c r="AE39" i="6"/>
  <c r="T39" i="6"/>
  <c r="S39" i="6"/>
  <c r="P39" i="6"/>
  <c r="N39" i="6"/>
  <c r="AD39" i="6" s="1"/>
  <c r="AE38" i="6"/>
  <c r="AA38" i="6"/>
  <c r="T38" i="6"/>
  <c r="S38" i="6"/>
  <c r="P38" i="6"/>
  <c r="N38" i="6"/>
  <c r="AD38" i="6" s="1"/>
  <c r="AE37" i="6"/>
  <c r="AA37" i="6"/>
  <c r="T37" i="6"/>
  <c r="S37" i="6"/>
  <c r="P37" i="6"/>
  <c r="N37" i="6"/>
  <c r="AD37" i="6" s="1"/>
  <c r="AE36" i="6"/>
  <c r="T36" i="6"/>
  <c r="S36" i="6"/>
  <c r="P36" i="6"/>
  <c r="N36" i="6"/>
  <c r="AD36" i="6" s="1"/>
  <c r="AE35" i="6"/>
  <c r="AA35" i="6"/>
  <c r="T35" i="6"/>
  <c r="S35" i="6"/>
  <c r="P35" i="6"/>
  <c r="N35" i="6"/>
  <c r="AD35" i="6" s="1"/>
  <c r="AE34" i="6"/>
  <c r="AA34" i="6"/>
  <c r="T34" i="6"/>
  <c r="S34" i="6"/>
  <c r="P34" i="6"/>
  <c r="N34" i="6"/>
  <c r="AD34" i="6" s="1"/>
  <c r="AE33" i="6"/>
  <c r="AA33" i="6"/>
  <c r="T33" i="6"/>
  <c r="S33" i="6"/>
  <c r="P33" i="6"/>
  <c r="N33" i="6"/>
  <c r="AD33" i="6" s="1"/>
  <c r="AE32" i="6"/>
  <c r="T32" i="6"/>
  <c r="S32" i="6"/>
  <c r="P32" i="6"/>
  <c r="N32" i="6"/>
  <c r="AD32" i="6" s="1"/>
  <c r="AE31" i="6"/>
  <c r="T31" i="6"/>
  <c r="S31" i="6"/>
  <c r="P31" i="6"/>
  <c r="N31" i="6"/>
  <c r="AD31" i="6" s="1"/>
  <c r="AE30" i="6"/>
  <c r="T30" i="6"/>
  <c r="S30" i="6"/>
  <c r="P30" i="6"/>
  <c r="N30" i="6"/>
  <c r="AD30" i="6" s="1"/>
  <c r="AE29" i="6"/>
  <c r="AA29" i="6"/>
  <c r="T29" i="6"/>
  <c r="S29" i="6"/>
  <c r="P29" i="6"/>
  <c r="N29" i="6"/>
  <c r="AD29" i="6" s="1"/>
  <c r="AE28" i="6"/>
  <c r="T28" i="6"/>
  <c r="S28" i="6"/>
  <c r="P28" i="6"/>
  <c r="N28" i="6"/>
  <c r="AD28" i="6" s="1"/>
  <c r="AE27" i="6"/>
  <c r="AA27" i="6"/>
  <c r="T27" i="6"/>
  <c r="S27" i="6"/>
  <c r="P27" i="6"/>
  <c r="N27" i="6"/>
  <c r="AD27" i="6" s="1"/>
  <c r="AE26" i="6"/>
  <c r="AA26" i="6"/>
  <c r="T26" i="6"/>
  <c r="S26" i="6"/>
  <c r="P26" i="6"/>
  <c r="N26" i="6"/>
  <c r="AD26" i="6" s="1"/>
  <c r="AE25" i="6"/>
  <c r="AA25" i="6"/>
  <c r="T25" i="6"/>
  <c r="S25" i="6"/>
  <c r="P25" i="6"/>
  <c r="N25" i="6"/>
  <c r="AD25" i="6" s="1"/>
  <c r="AE24" i="6"/>
  <c r="T24" i="6"/>
  <c r="S24" i="6"/>
  <c r="P24" i="6"/>
  <c r="N24" i="6"/>
  <c r="AD24" i="6" s="1"/>
  <c r="AE23" i="6"/>
  <c r="T23" i="6"/>
  <c r="S23" i="6"/>
  <c r="P23" i="6"/>
  <c r="N23" i="6"/>
  <c r="AD23" i="6" s="1"/>
  <c r="AE22" i="6"/>
  <c r="T22" i="6"/>
  <c r="S22" i="6"/>
  <c r="P22" i="6"/>
  <c r="N22" i="6"/>
  <c r="AD22" i="6" s="1"/>
  <c r="AE21" i="6"/>
  <c r="AA21" i="6"/>
  <c r="T21" i="6"/>
  <c r="S21" i="6"/>
  <c r="P21" i="6"/>
  <c r="N21" i="6"/>
  <c r="AD21" i="6" s="1"/>
  <c r="AE20" i="6"/>
  <c r="T20" i="6"/>
  <c r="S20" i="6"/>
  <c r="P20" i="6"/>
  <c r="N20" i="6"/>
  <c r="AD20" i="6" s="1"/>
  <c r="AE19" i="6"/>
  <c r="AA19" i="6"/>
  <c r="T19" i="6"/>
  <c r="S19" i="6"/>
  <c r="P19" i="6"/>
  <c r="N19" i="6"/>
  <c r="AD19" i="6" s="1"/>
  <c r="AE18" i="6"/>
  <c r="AA18" i="6"/>
  <c r="T18" i="6"/>
  <c r="S18" i="6"/>
  <c r="P18" i="6"/>
  <c r="N18" i="6"/>
  <c r="AD18" i="6" s="1"/>
  <c r="AE17" i="6"/>
  <c r="AA17" i="6"/>
  <c r="N17" i="6"/>
  <c r="P17" i="6" s="1"/>
  <c r="R17" i="6" s="1"/>
  <c r="AE16" i="6"/>
  <c r="AA16" i="6"/>
  <c r="N16" i="6"/>
  <c r="AD16" i="6" s="1"/>
  <c r="AA70" i="5"/>
  <c r="AA68" i="5"/>
  <c r="AA64" i="5"/>
  <c r="AB61" i="5"/>
  <c r="AA59" i="5"/>
  <c r="AA55" i="5"/>
  <c r="AA54" i="5"/>
  <c r="AA52" i="5"/>
  <c r="AA51" i="5"/>
  <c r="AA48" i="5"/>
  <c r="AA42" i="5"/>
  <c r="AA40" i="5"/>
  <c r="AA38" i="5"/>
  <c r="AA36" i="5"/>
  <c r="AA35" i="5"/>
  <c r="AA34" i="5"/>
  <c r="AA32" i="5"/>
  <c r="AA31" i="5"/>
  <c r="AA30" i="5"/>
  <c r="AA28" i="5"/>
  <c r="AA27" i="5"/>
  <c r="AA24" i="5"/>
  <c r="AA20" i="5"/>
  <c r="AA16" i="5"/>
  <c r="AB24" i="4"/>
  <c r="AB20" i="4"/>
  <c r="AA22" i="4"/>
  <c r="AA21" i="4"/>
  <c r="AA17" i="4"/>
  <c r="AA16" i="4"/>
  <c r="AE138" i="5"/>
  <c r="AE137" i="5"/>
  <c r="AE136" i="5"/>
  <c r="AE135" i="5"/>
  <c r="AE134" i="5"/>
  <c r="AE133" i="5"/>
  <c r="AE132" i="5"/>
  <c r="AE131" i="5"/>
  <c r="AE130" i="5"/>
  <c r="AE129" i="5"/>
  <c r="AE128" i="5"/>
  <c r="AE127" i="5"/>
  <c r="AE126" i="5"/>
  <c r="AE125" i="5"/>
  <c r="AE124" i="5"/>
  <c r="AE123" i="5"/>
  <c r="AE122" i="5"/>
  <c r="AE121" i="5"/>
  <c r="AE120" i="5"/>
  <c r="AE119" i="5"/>
  <c r="AE118" i="5"/>
  <c r="AE117" i="5"/>
  <c r="AE116" i="5"/>
  <c r="AE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6" i="5"/>
  <c r="AE70" i="5"/>
  <c r="T70" i="5"/>
  <c r="S70" i="5"/>
  <c r="P70" i="5"/>
  <c r="O70" i="5"/>
  <c r="N70" i="5"/>
  <c r="AE69" i="5"/>
  <c r="T69" i="5"/>
  <c r="S69" i="5"/>
  <c r="P69" i="5"/>
  <c r="O69" i="5"/>
  <c r="N69" i="5"/>
  <c r="AE68" i="5"/>
  <c r="T68" i="5"/>
  <c r="S68" i="5"/>
  <c r="P68" i="5"/>
  <c r="O68" i="5"/>
  <c r="N68" i="5"/>
  <c r="AD68" i="5" s="1"/>
  <c r="AE67" i="5"/>
  <c r="AA67" i="5"/>
  <c r="T67" i="5"/>
  <c r="S67" i="5"/>
  <c r="P67" i="5"/>
  <c r="O67" i="5"/>
  <c r="N67" i="5"/>
  <c r="AE66" i="5"/>
  <c r="T66" i="5"/>
  <c r="S66" i="5"/>
  <c r="P66" i="5"/>
  <c r="O66" i="5"/>
  <c r="N66" i="5"/>
  <c r="AE65" i="5"/>
  <c r="T65" i="5"/>
  <c r="S65" i="5"/>
  <c r="P65" i="5"/>
  <c r="O65" i="5"/>
  <c r="N65" i="5"/>
  <c r="AE64" i="5"/>
  <c r="T64" i="5"/>
  <c r="S64" i="5"/>
  <c r="P64" i="5"/>
  <c r="O64" i="5"/>
  <c r="N64" i="5"/>
  <c r="AE63" i="5"/>
  <c r="T63" i="5"/>
  <c r="S63" i="5"/>
  <c r="P63" i="5"/>
  <c r="O63" i="5"/>
  <c r="N63" i="5"/>
  <c r="AE62" i="5"/>
  <c r="T62" i="5"/>
  <c r="S62" i="5"/>
  <c r="P62" i="5"/>
  <c r="O62" i="5"/>
  <c r="N62" i="5"/>
  <c r="AE61" i="5"/>
  <c r="T61" i="5"/>
  <c r="S61" i="5"/>
  <c r="P61" i="5"/>
  <c r="O61" i="5"/>
  <c r="N61" i="5"/>
  <c r="AE60" i="5"/>
  <c r="T60" i="5"/>
  <c r="S60" i="5"/>
  <c r="P60" i="5"/>
  <c r="O60" i="5"/>
  <c r="N60" i="5"/>
  <c r="AE59" i="5"/>
  <c r="T59" i="5"/>
  <c r="S59" i="5"/>
  <c r="P59" i="5"/>
  <c r="O59" i="5"/>
  <c r="N59" i="5"/>
  <c r="AE58" i="5"/>
  <c r="T58" i="5"/>
  <c r="S58" i="5"/>
  <c r="P58" i="5"/>
  <c r="O58" i="5"/>
  <c r="N58" i="5"/>
  <c r="AE57" i="5"/>
  <c r="T57" i="5"/>
  <c r="S57" i="5"/>
  <c r="P57" i="5"/>
  <c r="O57" i="5"/>
  <c r="N57" i="5"/>
  <c r="AE56" i="5"/>
  <c r="T56" i="5"/>
  <c r="S56" i="5"/>
  <c r="P56" i="5"/>
  <c r="O56" i="5"/>
  <c r="N56" i="5"/>
  <c r="AE55" i="5"/>
  <c r="T55" i="5"/>
  <c r="S55" i="5"/>
  <c r="P55" i="5"/>
  <c r="O55" i="5"/>
  <c r="N55" i="5"/>
  <c r="AE54" i="5"/>
  <c r="T54" i="5"/>
  <c r="S54" i="5"/>
  <c r="P54" i="5"/>
  <c r="O54" i="5"/>
  <c r="N54" i="5"/>
  <c r="AE53" i="5"/>
  <c r="T53" i="5"/>
  <c r="S53" i="5"/>
  <c r="P53" i="5"/>
  <c r="O53" i="5"/>
  <c r="N53" i="5"/>
  <c r="AE52" i="5"/>
  <c r="T52" i="5"/>
  <c r="S52" i="5"/>
  <c r="P52" i="5"/>
  <c r="O52" i="5"/>
  <c r="N52" i="5"/>
  <c r="AE51" i="5"/>
  <c r="T51" i="5"/>
  <c r="S51" i="5"/>
  <c r="P51" i="5"/>
  <c r="O51" i="5"/>
  <c r="N51" i="5"/>
  <c r="AE50" i="5"/>
  <c r="T50" i="5"/>
  <c r="S50" i="5"/>
  <c r="P50" i="5"/>
  <c r="O50" i="5"/>
  <c r="N50" i="5"/>
  <c r="AE49" i="5"/>
  <c r="T49" i="5"/>
  <c r="S49" i="5"/>
  <c r="P49" i="5"/>
  <c r="O49" i="5"/>
  <c r="N49" i="5"/>
  <c r="AE48" i="5"/>
  <c r="T48" i="5"/>
  <c r="S48" i="5"/>
  <c r="P48" i="5"/>
  <c r="O48" i="5"/>
  <c r="N48" i="5"/>
  <c r="AE47" i="5"/>
  <c r="T47" i="5"/>
  <c r="S47" i="5"/>
  <c r="P47" i="5"/>
  <c r="O47" i="5"/>
  <c r="N47" i="5"/>
  <c r="AE46" i="5"/>
  <c r="T46" i="5"/>
  <c r="S46" i="5"/>
  <c r="P46" i="5"/>
  <c r="O46" i="5"/>
  <c r="N46" i="5"/>
  <c r="AE45" i="5"/>
  <c r="T45" i="5"/>
  <c r="S45" i="5"/>
  <c r="P45" i="5"/>
  <c r="O45" i="5"/>
  <c r="N45" i="5"/>
  <c r="AE44" i="5"/>
  <c r="T44" i="5"/>
  <c r="S44" i="5"/>
  <c r="P44" i="5"/>
  <c r="O44" i="5"/>
  <c r="N44" i="5"/>
  <c r="AE43" i="5"/>
  <c r="AA43" i="5"/>
  <c r="T43" i="5"/>
  <c r="S43" i="5"/>
  <c r="P43" i="5"/>
  <c r="O43" i="5"/>
  <c r="N43" i="5"/>
  <c r="AE42" i="5"/>
  <c r="T42" i="5"/>
  <c r="S42" i="5"/>
  <c r="P42" i="5"/>
  <c r="O42" i="5"/>
  <c r="N42" i="5"/>
  <c r="AE41" i="5"/>
  <c r="T41" i="5"/>
  <c r="S41" i="5"/>
  <c r="P41" i="5"/>
  <c r="O41" i="5"/>
  <c r="N41" i="5"/>
  <c r="AE40" i="5"/>
  <c r="T40" i="5"/>
  <c r="S40" i="5"/>
  <c r="P40" i="5"/>
  <c r="O40" i="5"/>
  <c r="N40" i="5"/>
  <c r="AE39" i="5"/>
  <c r="T39" i="5"/>
  <c r="S39" i="5"/>
  <c r="P39" i="5"/>
  <c r="O39" i="5"/>
  <c r="N39" i="5"/>
  <c r="AE38" i="5"/>
  <c r="T38" i="5"/>
  <c r="S38" i="5"/>
  <c r="P38" i="5"/>
  <c r="O38" i="5"/>
  <c r="N38" i="5"/>
  <c r="AE37" i="5"/>
  <c r="T37" i="5"/>
  <c r="S37" i="5"/>
  <c r="P37" i="5"/>
  <c r="O37" i="5"/>
  <c r="N37" i="5"/>
  <c r="AE36" i="5"/>
  <c r="T36" i="5"/>
  <c r="S36" i="5"/>
  <c r="P36" i="5"/>
  <c r="O36" i="5"/>
  <c r="N36" i="5"/>
  <c r="AE35" i="5"/>
  <c r="T35" i="5"/>
  <c r="S35" i="5"/>
  <c r="P35" i="5"/>
  <c r="O35" i="5"/>
  <c r="N35" i="5"/>
  <c r="AE34" i="5"/>
  <c r="T34" i="5"/>
  <c r="S34" i="5"/>
  <c r="P34" i="5"/>
  <c r="O34" i="5"/>
  <c r="N34" i="5"/>
  <c r="AE33" i="5"/>
  <c r="T33" i="5"/>
  <c r="S33" i="5"/>
  <c r="P33" i="5"/>
  <c r="O33" i="5"/>
  <c r="N33" i="5"/>
  <c r="AE32" i="5"/>
  <c r="T32" i="5"/>
  <c r="S32" i="5"/>
  <c r="P32" i="5"/>
  <c r="O32" i="5"/>
  <c r="N32" i="5"/>
  <c r="AE31" i="5"/>
  <c r="AB31" i="5"/>
  <c r="T31" i="5"/>
  <c r="S31" i="5"/>
  <c r="P31" i="5"/>
  <c r="O31" i="5"/>
  <c r="N31" i="5"/>
  <c r="AE30" i="5"/>
  <c r="T30" i="5"/>
  <c r="S30" i="5"/>
  <c r="P30" i="5"/>
  <c r="O30" i="5"/>
  <c r="N30" i="5"/>
  <c r="AE29" i="5"/>
  <c r="T29" i="5"/>
  <c r="S29" i="5"/>
  <c r="P29" i="5"/>
  <c r="O29" i="5"/>
  <c r="N29" i="5"/>
  <c r="AE28" i="5"/>
  <c r="T28" i="5"/>
  <c r="S28" i="5"/>
  <c r="P28" i="5"/>
  <c r="O28" i="5"/>
  <c r="N28" i="5"/>
  <c r="AE27" i="5"/>
  <c r="T27" i="5"/>
  <c r="S27" i="5"/>
  <c r="P27" i="5"/>
  <c r="O27" i="5"/>
  <c r="N27" i="5"/>
  <c r="AE26" i="5"/>
  <c r="T26" i="5"/>
  <c r="S26" i="5"/>
  <c r="P26" i="5"/>
  <c r="O26" i="5"/>
  <c r="N26" i="5"/>
  <c r="AE25" i="5"/>
  <c r="T25" i="5"/>
  <c r="S25" i="5"/>
  <c r="P25" i="5"/>
  <c r="O25" i="5"/>
  <c r="N25" i="5"/>
  <c r="AE24" i="5"/>
  <c r="T24" i="5"/>
  <c r="S24" i="5"/>
  <c r="P24" i="5"/>
  <c r="O24" i="5"/>
  <c r="N24" i="5"/>
  <c r="AE23" i="5"/>
  <c r="T23" i="5"/>
  <c r="S23" i="5"/>
  <c r="P23" i="5"/>
  <c r="O23" i="5"/>
  <c r="N23" i="5"/>
  <c r="AE22" i="5"/>
  <c r="T22" i="5"/>
  <c r="S22" i="5"/>
  <c r="P22" i="5"/>
  <c r="O22" i="5"/>
  <c r="N22" i="5"/>
  <c r="AE21" i="5"/>
  <c r="T21" i="5"/>
  <c r="S21" i="5"/>
  <c r="P21" i="5"/>
  <c r="O21" i="5"/>
  <c r="N21" i="5"/>
  <c r="AE20" i="5"/>
  <c r="T20" i="5"/>
  <c r="S20" i="5"/>
  <c r="P20" i="5"/>
  <c r="O20" i="5"/>
  <c r="N20" i="5"/>
  <c r="AE19" i="5"/>
  <c r="T19" i="5"/>
  <c r="S19" i="5"/>
  <c r="P19" i="5"/>
  <c r="O19" i="5"/>
  <c r="N19" i="5"/>
  <c r="AE18" i="5"/>
  <c r="T18" i="5"/>
  <c r="S18" i="5"/>
  <c r="P18" i="5"/>
  <c r="O18" i="5"/>
  <c r="N18" i="5"/>
  <c r="AE17" i="5"/>
  <c r="P17" i="5"/>
  <c r="O17" i="5"/>
  <c r="N17" i="5"/>
  <c r="O16" i="5"/>
  <c r="N16" i="5"/>
  <c r="AE47" i="4"/>
  <c r="AE46" i="4"/>
  <c r="AE45" i="4"/>
  <c r="AE44" i="4"/>
  <c r="AE43" i="4"/>
  <c r="AE42" i="4"/>
  <c r="AE41" i="4"/>
  <c r="AE40" i="4"/>
  <c r="AE25" i="4"/>
  <c r="T25" i="4"/>
  <c r="S25" i="4"/>
  <c r="P25" i="4"/>
  <c r="N25" i="4"/>
  <c r="AD25" i="4" s="1"/>
  <c r="AE24" i="4"/>
  <c r="T24" i="4"/>
  <c r="S24" i="4"/>
  <c r="P24" i="4"/>
  <c r="N24" i="4"/>
  <c r="AD24" i="4" s="1"/>
  <c r="AE23" i="4"/>
  <c r="T23" i="4"/>
  <c r="S23" i="4"/>
  <c r="P23" i="4"/>
  <c r="N23" i="4"/>
  <c r="AD23" i="4" s="1"/>
  <c r="AE22" i="4"/>
  <c r="T22" i="4"/>
  <c r="S22" i="4"/>
  <c r="P22" i="4"/>
  <c r="N22" i="4"/>
  <c r="AD22" i="4" s="1"/>
  <c r="AE21" i="4"/>
  <c r="T21" i="4"/>
  <c r="S21" i="4"/>
  <c r="P21" i="4"/>
  <c r="N21" i="4"/>
  <c r="AD21" i="4" s="1"/>
  <c r="AE20" i="4"/>
  <c r="T20" i="4"/>
  <c r="S20" i="4"/>
  <c r="P20" i="4"/>
  <c r="N20" i="4"/>
  <c r="AD20" i="4" s="1"/>
  <c r="AE19" i="4"/>
  <c r="T19" i="4"/>
  <c r="S19" i="4"/>
  <c r="P19" i="4"/>
  <c r="N19" i="4"/>
  <c r="AD19" i="4" s="1"/>
  <c r="AE18" i="4"/>
  <c r="T18" i="4"/>
  <c r="S18" i="4"/>
  <c r="P18" i="4"/>
  <c r="N18" i="4"/>
  <c r="AD18" i="4" s="1"/>
  <c r="AE17" i="4"/>
  <c r="P17" i="4"/>
  <c r="N17" i="4"/>
  <c r="AD17" i="4" s="1"/>
  <c r="AE16" i="5"/>
  <c r="AE16" i="4"/>
  <c r="N16" i="4"/>
  <c r="AD16" i="4" s="1"/>
  <c r="AD34" i="5" l="1"/>
  <c r="AD39" i="5"/>
  <c r="AD42" i="5"/>
  <c r="AD49" i="5"/>
  <c r="AD57" i="5"/>
  <c r="AD21" i="5"/>
  <c r="AD25" i="5"/>
  <c r="AD32" i="5"/>
  <c r="AD40" i="5"/>
  <c r="AD46" i="5"/>
  <c r="AD50" i="5"/>
  <c r="AD54" i="5"/>
  <c r="AD58" i="5"/>
  <c r="AD62" i="5"/>
  <c r="AD20" i="5"/>
  <c r="AD69" i="5"/>
  <c r="AD22" i="5"/>
  <c r="AD30" i="5"/>
  <c r="AD47" i="5"/>
  <c r="AD51" i="5"/>
  <c r="AD55" i="5"/>
  <c r="AD59" i="5"/>
  <c r="AD67" i="5"/>
  <c r="AD29" i="5"/>
  <c r="AD33" i="5"/>
  <c r="AD37" i="5"/>
  <c r="AD41" i="5"/>
  <c r="AD70" i="5"/>
  <c r="AD24" i="5"/>
  <c r="AD28" i="5"/>
  <c r="AD45" i="5"/>
  <c r="AD53" i="5"/>
  <c r="AD61" i="5"/>
  <c r="AD65" i="5"/>
  <c r="AD36" i="5"/>
  <c r="AD19" i="5"/>
  <c r="AD27" i="5"/>
  <c r="AD31" i="5"/>
  <c r="AD44" i="5"/>
  <c r="AD48" i="5"/>
  <c r="AD52" i="5"/>
  <c r="AD56" i="5"/>
  <c r="AD60" i="5"/>
  <c r="AD64" i="5"/>
  <c r="AB20" i="6"/>
  <c r="AB42" i="6"/>
  <c r="AB27" i="5"/>
  <c r="AC27" i="5" s="1"/>
  <c r="AB18" i="5"/>
  <c r="AB22" i="5"/>
  <c r="AB26" i="5"/>
  <c r="AB44" i="5"/>
  <c r="AB46" i="5"/>
  <c r="AB50" i="5"/>
  <c r="AB56" i="5"/>
  <c r="AB58" i="5"/>
  <c r="AB60" i="5"/>
  <c r="AB62" i="5"/>
  <c r="AB66" i="5"/>
  <c r="AB28" i="6"/>
  <c r="AD17" i="5"/>
  <c r="AD18" i="5"/>
  <c r="AD23" i="5"/>
  <c r="AD26" i="5"/>
  <c r="AD35" i="5"/>
  <c r="AD38" i="5"/>
  <c r="AD43" i="5"/>
  <c r="AD63" i="5"/>
  <c r="AD66" i="5"/>
  <c r="AB29" i="5"/>
  <c r="AB35" i="5"/>
  <c r="AC35" i="5" s="1"/>
  <c r="AB55" i="5"/>
  <c r="AC55" i="5" s="1"/>
  <c r="AB59" i="5"/>
  <c r="AC59" i="5" s="1"/>
  <c r="AB17" i="4"/>
  <c r="AC17" i="4" s="1"/>
  <c r="S17" i="4" s="1"/>
  <c r="AB25" i="4"/>
  <c r="AB19" i="5"/>
  <c r="AB23" i="5"/>
  <c r="AB37" i="5"/>
  <c r="AB39" i="5"/>
  <c r="AB43" i="5"/>
  <c r="AC43" i="5" s="1"/>
  <c r="AB45" i="5"/>
  <c r="AB47" i="5"/>
  <c r="AB53" i="5"/>
  <c r="AB63" i="5"/>
  <c r="AB67" i="5"/>
  <c r="AC67" i="5" s="1"/>
  <c r="AB69" i="5"/>
  <c r="AA23" i="5"/>
  <c r="AB19" i="4"/>
  <c r="AA25" i="4"/>
  <c r="AB42" i="5"/>
  <c r="AC42" i="5" s="1"/>
  <c r="AA46" i="5"/>
  <c r="AB23" i="4"/>
  <c r="AB24" i="5"/>
  <c r="AC24" i="5" s="1"/>
  <c r="AB28" i="5"/>
  <c r="AC28" i="5" s="1"/>
  <c r="AB30" i="5"/>
  <c r="AC30" i="5" s="1"/>
  <c r="AB34" i="5"/>
  <c r="AC34" i="5" s="1"/>
  <c r="AB21" i="4"/>
  <c r="AC21" i="4" s="1"/>
  <c r="AB70" i="5"/>
  <c r="AC70" i="5" s="1"/>
  <c r="AB18" i="6"/>
  <c r="AC18" i="6" s="1"/>
  <c r="AB23" i="6"/>
  <c r="AB24" i="6"/>
  <c r="AB26" i="6"/>
  <c r="AC26" i="6" s="1"/>
  <c r="AB31" i="6"/>
  <c r="AB32" i="6"/>
  <c r="AB20" i="5"/>
  <c r="AC20" i="5" s="1"/>
  <c r="AB38" i="5"/>
  <c r="AC38" i="5" s="1"/>
  <c r="AA50" i="5"/>
  <c r="AA56" i="5"/>
  <c r="AA60" i="5"/>
  <c r="AB64" i="5"/>
  <c r="AC64" i="5" s="1"/>
  <c r="AB68" i="5"/>
  <c r="AC68" i="5" s="1"/>
  <c r="AB22" i="6"/>
  <c r="AB30" i="6"/>
  <c r="AB25" i="6"/>
  <c r="AC25" i="6" s="1"/>
  <c r="AB29" i="6"/>
  <c r="AC29" i="6" s="1"/>
  <c r="AA30" i="6"/>
  <c r="AB34" i="6"/>
  <c r="AC34" i="6" s="1"/>
  <c r="AB39" i="6"/>
  <c r="AB40" i="6"/>
  <c r="AA31" i="6"/>
  <c r="AB45" i="6"/>
  <c r="AC45" i="6" s="1"/>
  <c r="AB38" i="6"/>
  <c r="AC38" i="6" s="1"/>
  <c r="AA47" i="5"/>
  <c r="AB16" i="6"/>
  <c r="AC16" i="6" s="1"/>
  <c r="AB21" i="6"/>
  <c r="AC21" i="6" s="1"/>
  <c r="AA22" i="6"/>
  <c r="AB33" i="6"/>
  <c r="AC33" i="6" s="1"/>
  <c r="AB37" i="6"/>
  <c r="AC37" i="6" s="1"/>
  <c r="AA39" i="6"/>
  <c r="AA39" i="5"/>
  <c r="AB51" i="5"/>
  <c r="AC51" i="5" s="1"/>
  <c r="AB18" i="4"/>
  <c r="AA23" i="6"/>
  <c r="AB41" i="6"/>
  <c r="AC41" i="6" s="1"/>
  <c r="AA42" i="6"/>
  <c r="AA19" i="5"/>
  <c r="AA63" i="5"/>
  <c r="AB17" i="6"/>
  <c r="AC17" i="6" s="1"/>
  <c r="P16" i="6"/>
  <c r="P16" i="5"/>
  <c r="AD16" i="5"/>
  <c r="P16" i="4"/>
  <c r="AD17" i="6"/>
  <c r="AB36" i="6"/>
  <c r="AB44" i="6"/>
  <c r="AB19" i="6"/>
  <c r="AC19" i="6" s="1"/>
  <c r="AB27" i="6"/>
  <c r="AC27" i="6" s="1"/>
  <c r="AB35" i="6"/>
  <c r="AC35" i="6" s="1"/>
  <c r="AB43" i="6"/>
  <c r="AC43" i="6" s="1"/>
  <c r="AA20" i="6"/>
  <c r="AA24" i="6"/>
  <c r="AA28" i="6"/>
  <c r="AA32" i="6"/>
  <c r="AA36" i="6"/>
  <c r="AA40" i="6"/>
  <c r="AA44" i="6"/>
  <c r="AB32" i="5"/>
  <c r="AC32" i="5" s="1"/>
  <c r="AB40" i="5"/>
  <c r="AC40" i="5" s="1"/>
  <c r="AA58" i="5"/>
  <c r="AA18" i="5"/>
  <c r="AA22" i="5"/>
  <c r="AA26" i="5"/>
  <c r="AA44" i="5"/>
  <c r="AB48" i="5"/>
  <c r="AC48" i="5" s="1"/>
  <c r="AB52" i="5"/>
  <c r="AC52" i="5" s="1"/>
  <c r="AB54" i="5"/>
  <c r="AC54" i="5" s="1"/>
  <c r="AA62" i="5"/>
  <c r="AA66" i="5"/>
  <c r="AC31" i="5"/>
  <c r="AB17" i="5"/>
  <c r="AB25" i="5"/>
  <c r="AB21" i="5"/>
  <c r="AB36" i="5"/>
  <c r="AC36" i="5" s="1"/>
  <c r="AB33" i="5"/>
  <c r="AB41" i="5"/>
  <c r="AB49" i="5"/>
  <c r="AB57" i="5"/>
  <c r="AB65" i="5"/>
  <c r="AB22" i="4"/>
  <c r="AC22" i="4" s="1"/>
  <c r="AA18" i="4"/>
  <c r="AA17" i="5"/>
  <c r="AA21" i="5"/>
  <c r="AA25" i="5"/>
  <c r="AA29" i="5"/>
  <c r="AA33" i="5"/>
  <c r="AA37" i="5"/>
  <c r="AA41" i="5"/>
  <c r="AA45" i="5"/>
  <c r="AA49" i="5"/>
  <c r="AA53" i="5"/>
  <c r="AA57" i="5"/>
  <c r="AA61" i="5"/>
  <c r="AC61" i="5" s="1"/>
  <c r="AA65" i="5"/>
  <c r="AA69" i="5"/>
  <c r="AA19" i="4"/>
  <c r="AA23" i="4"/>
  <c r="AA20" i="4"/>
  <c r="AC20" i="4" s="1"/>
  <c r="AA24" i="4"/>
  <c r="AC24" i="4" s="1"/>
  <c r="AB16" i="4"/>
  <c r="AC16" i="4" s="1"/>
  <c r="AB16" i="5"/>
  <c r="AC16" i="5" s="1"/>
  <c r="AC60" i="5" l="1"/>
  <c r="AC19" i="5"/>
  <c r="AC56" i="5"/>
  <c r="AC62" i="5"/>
  <c r="AC44" i="5"/>
  <c r="AC58" i="5"/>
  <c r="AC26" i="5"/>
  <c r="AC66" i="5"/>
  <c r="AC22" i="5"/>
  <c r="AC63" i="5"/>
  <c r="AC50" i="5"/>
  <c r="AC42" i="6"/>
  <c r="AC20" i="6"/>
  <c r="AC28" i="6"/>
  <c r="AC22" i="6"/>
  <c r="AC18" i="5"/>
  <c r="AC46" i="5"/>
  <c r="AC53" i="5"/>
  <c r="AC29" i="5"/>
  <c r="AC39" i="5"/>
  <c r="AC23" i="5"/>
  <c r="AC19" i="4"/>
  <c r="AC45" i="5"/>
  <c r="AC25" i="4"/>
  <c r="AC37" i="5"/>
  <c r="AC69" i="5"/>
  <c r="AC47" i="5"/>
  <c r="AC39" i="6"/>
  <c r="AC40" i="6"/>
  <c r="AC24" i="6"/>
  <c r="AC30" i="6"/>
  <c r="AC23" i="4"/>
  <c r="AC31" i="6"/>
  <c r="AC36" i="6"/>
  <c r="AC18" i="4"/>
  <c r="AC65" i="5"/>
  <c r="AC33" i="5"/>
  <c r="AC17" i="5"/>
  <c r="S17" i="5" s="1"/>
  <c r="AC32" i="6"/>
  <c r="AC41" i="5"/>
  <c r="AC25" i="5"/>
  <c r="AC44" i="6"/>
  <c r="AC23" i="6"/>
  <c r="AC49" i="5"/>
  <c r="R16" i="5"/>
  <c r="R16" i="6"/>
  <c r="R16" i="4"/>
  <c r="AC21" i="5"/>
  <c r="AC57" i="5"/>
  <c r="T17" i="5"/>
  <c r="T17" i="4"/>
  <c r="M46" i="6"/>
  <c r="L46" i="6"/>
  <c r="N46" i="6"/>
  <c r="M131" i="6"/>
  <c r="M173" i="6" s="1"/>
  <c r="M215" i="6" s="1"/>
  <c r="M257" i="6" s="1"/>
  <c r="M299" i="6" s="1"/>
  <c r="M341" i="6" s="1"/>
  <c r="L131" i="6"/>
  <c r="L130" i="6"/>
  <c r="M129" i="6"/>
  <c r="M171" i="6" s="1"/>
  <c r="M213" i="6" s="1"/>
  <c r="M255" i="6" s="1"/>
  <c r="M297" i="6" s="1"/>
  <c r="M339" i="6" s="1"/>
  <c r="M128" i="6"/>
  <c r="M170" i="6" s="1"/>
  <c r="M212" i="6" s="1"/>
  <c r="M254" i="6" s="1"/>
  <c r="M296" i="6" s="1"/>
  <c r="M338" i="6" s="1"/>
  <c r="M127" i="6"/>
  <c r="M169" i="6" s="1"/>
  <c r="M211" i="6" s="1"/>
  <c r="M253" i="6" s="1"/>
  <c r="M295" i="6" s="1"/>
  <c r="M337" i="6" s="1"/>
  <c r="L127" i="6"/>
  <c r="M126" i="6"/>
  <c r="M168" i="6" s="1"/>
  <c r="M210" i="6" s="1"/>
  <c r="M252" i="6" s="1"/>
  <c r="M294" i="6" s="1"/>
  <c r="M336" i="6" s="1"/>
  <c r="L126" i="6"/>
  <c r="M125" i="6"/>
  <c r="M167" i="6" s="1"/>
  <c r="M209" i="6" s="1"/>
  <c r="M251" i="6" s="1"/>
  <c r="M293" i="6" s="1"/>
  <c r="M335" i="6" s="1"/>
  <c r="M124" i="6"/>
  <c r="M166" i="6" s="1"/>
  <c r="M208" i="6" s="1"/>
  <c r="M250" i="6" s="1"/>
  <c r="M292" i="6" s="1"/>
  <c r="M334" i="6" s="1"/>
  <c r="M123" i="6"/>
  <c r="M165" i="6" s="1"/>
  <c r="M207" i="6" s="1"/>
  <c r="M249" i="6" s="1"/>
  <c r="M291" i="6" s="1"/>
  <c r="M333" i="6" s="1"/>
  <c r="L123" i="6"/>
  <c r="L122" i="6"/>
  <c r="M121" i="6"/>
  <c r="M163" i="6" s="1"/>
  <c r="M205" i="6" s="1"/>
  <c r="M247" i="6" s="1"/>
  <c r="M289" i="6" s="1"/>
  <c r="M331" i="6" s="1"/>
  <c r="M120" i="6"/>
  <c r="M162" i="6" s="1"/>
  <c r="M204" i="6" s="1"/>
  <c r="M246" i="6" s="1"/>
  <c r="M288" i="6" s="1"/>
  <c r="M330" i="6" s="1"/>
  <c r="M119" i="6"/>
  <c r="M161" i="6" s="1"/>
  <c r="M203" i="6" s="1"/>
  <c r="M245" i="6" s="1"/>
  <c r="M287" i="6" s="1"/>
  <c r="M329" i="6" s="1"/>
  <c r="L119" i="6"/>
  <c r="M118" i="6"/>
  <c r="M160" i="6" s="1"/>
  <c r="M202" i="6" s="1"/>
  <c r="M244" i="6" s="1"/>
  <c r="M286" i="6" s="1"/>
  <c r="M328" i="6" s="1"/>
  <c r="L118" i="6"/>
  <c r="M117" i="6"/>
  <c r="M159" i="6" s="1"/>
  <c r="M201" i="6" s="1"/>
  <c r="M243" i="6" s="1"/>
  <c r="M285" i="6" s="1"/>
  <c r="M327" i="6" s="1"/>
  <c r="M116" i="6"/>
  <c r="M158" i="6" s="1"/>
  <c r="M200" i="6" s="1"/>
  <c r="M242" i="6" s="1"/>
  <c r="M284" i="6" s="1"/>
  <c r="M326" i="6" s="1"/>
  <c r="M115" i="6"/>
  <c r="M157" i="6" s="1"/>
  <c r="M199" i="6" s="1"/>
  <c r="M241" i="6" s="1"/>
  <c r="M283" i="6" s="1"/>
  <c r="M325" i="6" s="1"/>
  <c r="L115" i="6"/>
  <c r="M114" i="6"/>
  <c r="M156" i="6" s="1"/>
  <c r="M198" i="6" s="1"/>
  <c r="M240" i="6" s="1"/>
  <c r="M282" i="6" s="1"/>
  <c r="M324" i="6" s="1"/>
  <c r="L114" i="6"/>
  <c r="M113" i="6"/>
  <c r="M155" i="6" s="1"/>
  <c r="M197" i="6" s="1"/>
  <c r="M239" i="6" s="1"/>
  <c r="M281" i="6" s="1"/>
  <c r="M323" i="6" s="1"/>
  <c r="M112" i="6"/>
  <c r="M154" i="6" s="1"/>
  <c r="M196" i="6" s="1"/>
  <c r="M238" i="6" s="1"/>
  <c r="M280" i="6" s="1"/>
  <c r="M322" i="6" s="1"/>
  <c r="M111" i="6"/>
  <c r="M153" i="6" s="1"/>
  <c r="M195" i="6" s="1"/>
  <c r="M237" i="6" s="1"/>
  <c r="M279" i="6" s="1"/>
  <c r="M321" i="6" s="1"/>
  <c r="L111" i="6"/>
  <c r="M110" i="6"/>
  <c r="M152" i="6" s="1"/>
  <c r="M194" i="6" s="1"/>
  <c r="M236" i="6" s="1"/>
  <c r="M278" i="6" s="1"/>
  <c r="M320" i="6" s="1"/>
  <c r="L110" i="6"/>
  <c r="M109" i="6"/>
  <c r="M151" i="6" s="1"/>
  <c r="M193" i="6" s="1"/>
  <c r="M235" i="6" s="1"/>
  <c r="M277" i="6" s="1"/>
  <c r="M319" i="6" s="1"/>
  <c r="M108" i="6"/>
  <c r="M150" i="6" s="1"/>
  <c r="M192" i="6" s="1"/>
  <c r="M234" i="6" s="1"/>
  <c r="M276" i="6" s="1"/>
  <c r="M318" i="6" s="1"/>
  <c r="M107" i="6"/>
  <c r="M149" i="6" s="1"/>
  <c r="M191" i="6" s="1"/>
  <c r="M233" i="6" s="1"/>
  <c r="M275" i="6" s="1"/>
  <c r="M317" i="6" s="1"/>
  <c r="L107" i="6"/>
  <c r="L106" i="6"/>
  <c r="M105" i="6"/>
  <c r="M147" i="6" s="1"/>
  <c r="M189" i="6" s="1"/>
  <c r="M231" i="6" s="1"/>
  <c r="M273" i="6" s="1"/>
  <c r="M315" i="6" s="1"/>
  <c r="M104" i="6"/>
  <c r="M146" i="6" s="1"/>
  <c r="M188" i="6" s="1"/>
  <c r="M230" i="6" s="1"/>
  <c r="M272" i="6" s="1"/>
  <c r="M314" i="6" s="1"/>
  <c r="M102" i="6"/>
  <c r="M144" i="6" s="1"/>
  <c r="M186" i="6" s="1"/>
  <c r="M228" i="6" s="1"/>
  <c r="M270" i="6" s="1"/>
  <c r="M312" i="6" s="1"/>
  <c r="AE59" i="6"/>
  <c r="S17" i="6"/>
  <c r="T17" i="6" s="1"/>
  <c r="S16" i="6"/>
  <c r="M206" i="5"/>
  <c r="M273" i="5" s="1"/>
  <c r="M340" i="5" s="1"/>
  <c r="M407" i="5" s="1"/>
  <c r="M474" i="5" s="1"/>
  <c r="M205" i="5"/>
  <c r="M272" i="5" s="1"/>
  <c r="M339" i="5" s="1"/>
  <c r="M406" i="5" s="1"/>
  <c r="M473" i="5" s="1"/>
  <c r="M204" i="5"/>
  <c r="M271" i="5" s="1"/>
  <c r="M338" i="5" s="1"/>
  <c r="M405" i="5" s="1"/>
  <c r="M472" i="5" s="1"/>
  <c r="M203" i="5"/>
  <c r="M270" i="5" s="1"/>
  <c r="M337" i="5" s="1"/>
  <c r="M404" i="5" s="1"/>
  <c r="M471" i="5" s="1"/>
  <c r="M202" i="5"/>
  <c r="M269" i="5" s="1"/>
  <c r="M336" i="5" s="1"/>
  <c r="M403" i="5" s="1"/>
  <c r="M470" i="5" s="1"/>
  <c r="M201" i="5"/>
  <c r="M268" i="5" s="1"/>
  <c r="M335" i="5" s="1"/>
  <c r="M402" i="5" s="1"/>
  <c r="M469" i="5" s="1"/>
  <c r="M200" i="5"/>
  <c r="M267" i="5" s="1"/>
  <c r="M334" i="5" s="1"/>
  <c r="M401" i="5" s="1"/>
  <c r="M468" i="5" s="1"/>
  <c r="M199" i="5"/>
  <c r="M266" i="5" s="1"/>
  <c r="M333" i="5" s="1"/>
  <c r="M400" i="5" s="1"/>
  <c r="M467" i="5" s="1"/>
  <c r="M198" i="5"/>
  <c r="M265" i="5" s="1"/>
  <c r="M332" i="5" s="1"/>
  <c r="M399" i="5" s="1"/>
  <c r="M466" i="5" s="1"/>
  <c r="M197" i="5"/>
  <c r="M264" i="5" s="1"/>
  <c r="M331" i="5" s="1"/>
  <c r="M398" i="5" s="1"/>
  <c r="M465" i="5" s="1"/>
  <c r="M196" i="5"/>
  <c r="M263" i="5" s="1"/>
  <c r="M330" i="5" s="1"/>
  <c r="M397" i="5" s="1"/>
  <c r="M464" i="5" s="1"/>
  <c r="M195" i="5"/>
  <c r="M262" i="5" s="1"/>
  <c r="M329" i="5" s="1"/>
  <c r="M396" i="5" s="1"/>
  <c r="M463" i="5" s="1"/>
  <c r="M194" i="5"/>
  <c r="M261" i="5" s="1"/>
  <c r="M328" i="5" s="1"/>
  <c r="M395" i="5" s="1"/>
  <c r="M462" i="5" s="1"/>
  <c r="M193" i="5"/>
  <c r="M260" i="5" s="1"/>
  <c r="M327" i="5" s="1"/>
  <c r="M394" i="5" s="1"/>
  <c r="M461" i="5" s="1"/>
  <c r="M192" i="5"/>
  <c r="M259" i="5" s="1"/>
  <c r="M326" i="5" s="1"/>
  <c r="M393" i="5" s="1"/>
  <c r="M460" i="5" s="1"/>
  <c r="M191" i="5"/>
  <c r="M258" i="5" s="1"/>
  <c r="M325" i="5" s="1"/>
  <c r="M392" i="5" s="1"/>
  <c r="M459" i="5" s="1"/>
  <c r="M190" i="5"/>
  <c r="M257" i="5" s="1"/>
  <c r="M324" i="5" s="1"/>
  <c r="M391" i="5" s="1"/>
  <c r="M458" i="5" s="1"/>
  <c r="M189" i="5"/>
  <c r="M256" i="5" s="1"/>
  <c r="M323" i="5" s="1"/>
  <c r="M390" i="5" s="1"/>
  <c r="M457" i="5" s="1"/>
  <c r="M188" i="5"/>
  <c r="M255" i="5" s="1"/>
  <c r="M322" i="5" s="1"/>
  <c r="M389" i="5" s="1"/>
  <c r="M456" i="5" s="1"/>
  <c r="M187" i="5"/>
  <c r="M254" i="5" s="1"/>
  <c r="M321" i="5" s="1"/>
  <c r="M388" i="5" s="1"/>
  <c r="M455" i="5" s="1"/>
  <c r="M186" i="5"/>
  <c r="M253" i="5" s="1"/>
  <c r="M320" i="5" s="1"/>
  <c r="M387" i="5" s="1"/>
  <c r="M454" i="5" s="1"/>
  <c r="M185" i="5"/>
  <c r="M252" i="5" s="1"/>
  <c r="M319" i="5" s="1"/>
  <c r="M386" i="5" s="1"/>
  <c r="M453" i="5" s="1"/>
  <c r="M184" i="5"/>
  <c r="M251" i="5" s="1"/>
  <c r="M318" i="5" s="1"/>
  <c r="M385" i="5" s="1"/>
  <c r="M452" i="5" s="1"/>
  <c r="M183" i="5"/>
  <c r="M250" i="5" s="1"/>
  <c r="M317" i="5" s="1"/>
  <c r="M384" i="5" s="1"/>
  <c r="M451" i="5" s="1"/>
  <c r="M182" i="5"/>
  <c r="M249" i="5" s="1"/>
  <c r="M316" i="5" s="1"/>
  <c r="M383" i="5" s="1"/>
  <c r="M450" i="5" s="1"/>
  <c r="M181" i="5"/>
  <c r="M248" i="5" s="1"/>
  <c r="M315" i="5" s="1"/>
  <c r="M382" i="5" s="1"/>
  <c r="M449" i="5" s="1"/>
  <c r="M180" i="5"/>
  <c r="M247" i="5" s="1"/>
  <c r="M314" i="5" s="1"/>
  <c r="M381" i="5" s="1"/>
  <c r="M448" i="5" s="1"/>
  <c r="M179" i="5"/>
  <c r="M246" i="5" s="1"/>
  <c r="M313" i="5" s="1"/>
  <c r="M380" i="5" s="1"/>
  <c r="M447" i="5" s="1"/>
  <c r="M178" i="5"/>
  <c r="M245" i="5" s="1"/>
  <c r="M312" i="5" s="1"/>
  <c r="M379" i="5" s="1"/>
  <c r="M446" i="5" s="1"/>
  <c r="M177" i="5"/>
  <c r="M244" i="5" s="1"/>
  <c r="M311" i="5" s="1"/>
  <c r="M378" i="5" s="1"/>
  <c r="M445" i="5" s="1"/>
  <c r="M176" i="5"/>
  <c r="M243" i="5" s="1"/>
  <c r="M310" i="5" s="1"/>
  <c r="M377" i="5" s="1"/>
  <c r="M444" i="5" s="1"/>
  <c r="M175" i="5"/>
  <c r="M242" i="5" s="1"/>
  <c r="M309" i="5" s="1"/>
  <c r="M376" i="5" s="1"/>
  <c r="M443" i="5" s="1"/>
  <c r="L175" i="5"/>
  <c r="M174" i="5"/>
  <c r="M241" i="5" s="1"/>
  <c r="M308" i="5" s="1"/>
  <c r="M375" i="5" s="1"/>
  <c r="M442" i="5" s="1"/>
  <c r="L174" i="5"/>
  <c r="M173" i="5"/>
  <c r="M240" i="5" s="1"/>
  <c r="M307" i="5" s="1"/>
  <c r="M374" i="5" s="1"/>
  <c r="M441" i="5" s="1"/>
  <c r="M172" i="5"/>
  <c r="M239" i="5" s="1"/>
  <c r="M306" i="5" s="1"/>
  <c r="M373" i="5" s="1"/>
  <c r="M440" i="5" s="1"/>
  <c r="M171" i="5"/>
  <c r="M238" i="5" s="1"/>
  <c r="M305" i="5" s="1"/>
  <c r="M372" i="5" s="1"/>
  <c r="M439" i="5" s="1"/>
  <c r="L171" i="5"/>
  <c r="M170" i="5"/>
  <c r="M237" i="5" s="1"/>
  <c r="M304" i="5" s="1"/>
  <c r="M371" i="5" s="1"/>
  <c r="M438" i="5" s="1"/>
  <c r="L170" i="5"/>
  <c r="M169" i="5"/>
  <c r="M236" i="5" s="1"/>
  <c r="M303" i="5" s="1"/>
  <c r="M370" i="5" s="1"/>
  <c r="M437" i="5" s="1"/>
  <c r="M168" i="5"/>
  <c r="M235" i="5" s="1"/>
  <c r="M302" i="5" s="1"/>
  <c r="M369" i="5" s="1"/>
  <c r="M436" i="5" s="1"/>
  <c r="M167" i="5"/>
  <c r="M234" i="5" s="1"/>
  <c r="M301" i="5" s="1"/>
  <c r="M368" i="5" s="1"/>
  <c r="M435" i="5" s="1"/>
  <c r="L167" i="5"/>
  <c r="M166" i="5"/>
  <c r="M233" i="5" s="1"/>
  <c r="M300" i="5" s="1"/>
  <c r="M367" i="5" s="1"/>
  <c r="M434" i="5" s="1"/>
  <c r="L166" i="5"/>
  <c r="M165" i="5"/>
  <c r="M232" i="5" s="1"/>
  <c r="M299" i="5" s="1"/>
  <c r="M366" i="5" s="1"/>
  <c r="M433" i="5" s="1"/>
  <c r="M164" i="5"/>
  <c r="M231" i="5" s="1"/>
  <c r="M298" i="5" s="1"/>
  <c r="M365" i="5" s="1"/>
  <c r="M432" i="5" s="1"/>
  <c r="M163" i="5"/>
  <c r="M230" i="5" s="1"/>
  <c r="M297" i="5" s="1"/>
  <c r="M364" i="5" s="1"/>
  <c r="M431" i="5" s="1"/>
  <c r="L163" i="5"/>
  <c r="M162" i="5"/>
  <c r="M229" i="5" s="1"/>
  <c r="M296" i="5" s="1"/>
  <c r="M363" i="5" s="1"/>
  <c r="M430" i="5" s="1"/>
  <c r="L162" i="5"/>
  <c r="M161" i="5"/>
  <c r="M228" i="5" s="1"/>
  <c r="M295" i="5" s="1"/>
  <c r="M362" i="5" s="1"/>
  <c r="M429" i="5" s="1"/>
  <c r="M160" i="5"/>
  <c r="M227" i="5" s="1"/>
  <c r="M294" i="5" s="1"/>
  <c r="M361" i="5" s="1"/>
  <c r="M428" i="5" s="1"/>
  <c r="M159" i="5"/>
  <c r="M226" i="5" s="1"/>
  <c r="M293" i="5" s="1"/>
  <c r="M360" i="5" s="1"/>
  <c r="M427" i="5" s="1"/>
  <c r="L159" i="5"/>
  <c r="M158" i="5"/>
  <c r="M225" i="5" s="1"/>
  <c r="M292" i="5" s="1"/>
  <c r="M359" i="5" s="1"/>
  <c r="M426" i="5" s="1"/>
  <c r="L158" i="5"/>
  <c r="M157" i="5"/>
  <c r="M224" i="5" s="1"/>
  <c r="M291" i="5" s="1"/>
  <c r="M358" i="5" s="1"/>
  <c r="M425" i="5" s="1"/>
  <c r="M156" i="5"/>
  <c r="M223" i="5" s="1"/>
  <c r="M290" i="5" s="1"/>
  <c r="M357" i="5" s="1"/>
  <c r="M424" i="5" s="1"/>
  <c r="M155" i="5"/>
  <c r="M222" i="5" s="1"/>
  <c r="M289" i="5" s="1"/>
  <c r="M356" i="5" s="1"/>
  <c r="M423" i="5" s="1"/>
  <c r="L155" i="5"/>
  <c r="M154" i="5"/>
  <c r="M221" i="5" s="1"/>
  <c r="M288" i="5" s="1"/>
  <c r="M355" i="5" s="1"/>
  <c r="M422" i="5" s="1"/>
  <c r="L154" i="5"/>
  <c r="M153" i="5"/>
  <c r="M220" i="5" s="1"/>
  <c r="M287" i="5" s="1"/>
  <c r="M354" i="5" s="1"/>
  <c r="M421" i="5" s="1"/>
  <c r="AE85" i="5"/>
  <c r="M152" i="5"/>
  <c r="AE84" i="5"/>
  <c r="M71" i="5"/>
  <c r="L71" i="5"/>
  <c r="M26" i="4"/>
  <c r="L26" i="4"/>
  <c r="M70" i="4"/>
  <c r="L70" i="4"/>
  <c r="M69" i="4"/>
  <c r="L69" i="4"/>
  <c r="L68" i="4"/>
  <c r="M67" i="4"/>
  <c r="M89" i="4" s="1"/>
  <c r="M111" i="4" s="1"/>
  <c r="M133" i="4" s="1"/>
  <c r="M155" i="4" s="1"/>
  <c r="M177" i="4" s="1"/>
  <c r="M66" i="4"/>
  <c r="L66" i="4"/>
  <c r="M65" i="4"/>
  <c r="M87" i="4" s="1"/>
  <c r="L65" i="4"/>
  <c r="M64" i="4"/>
  <c r="M86" i="4" s="1"/>
  <c r="M108" i="4" s="1"/>
  <c r="M130" i="4" s="1"/>
  <c r="M152" i="4" s="1"/>
  <c r="M174" i="4" s="1"/>
  <c r="L64" i="4"/>
  <c r="L63" i="4"/>
  <c r="M62" i="4"/>
  <c r="AE39" i="4"/>
  <c r="M61" i="4"/>
  <c r="M63" i="4"/>
  <c r="M85" i="4" s="1"/>
  <c r="S16" i="5"/>
  <c r="J47" i="4"/>
  <c r="J46" i="4"/>
  <c r="J45" i="4"/>
  <c r="J44" i="4"/>
  <c r="J43" i="4"/>
  <c r="J42" i="4"/>
  <c r="J41" i="4"/>
  <c r="J40" i="4"/>
  <c r="AG25" i="4"/>
  <c r="AH25" i="4" s="1"/>
  <c r="AG24" i="4"/>
  <c r="AH24" i="4" s="1"/>
  <c r="AG23" i="4"/>
  <c r="AH23" i="4" s="1"/>
  <c r="AG22" i="4"/>
  <c r="AH22" i="4" s="1"/>
  <c r="AG21" i="4"/>
  <c r="AH21" i="4" s="1"/>
  <c r="AG20" i="4"/>
  <c r="AH20" i="4" s="1"/>
  <c r="AG19" i="4"/>
  <c r="AH19" i="4" s="1"/>
  <c r="AG18" i="4"/>
  <c r="AH18" i="4" s="1"/>
  <c r="AG17" i="4"/>
  <c r="AH17" i="4" s="1"/>
  <c r="S16" i="4"/>
  <c r="T16" i="4" l="1"/>
  <c r="R43" i="4"/>
  <c r="I43" i="4"/>
  <c r="T43" i="4"/>
  <c r="S43" i="4"/>
  <c r="P43" i="4"/>
  <c r="N43" i="4"/>
  <c r="AD43" i="4" s="1"/>
  <c r="R40" i="4"/>
  <c r="I40" i="4"/>
  <c r="N40" i="4"/>
  <c r="AD40" i="4" s="1"/>
  <c r="T40" i="4"/>
  <c r="S40" i="4"/>
  <c r="P40" i="4"/>
  <c r="R44" i="4"/>
  <c r="I44" i="4"/>
  <c r="S44" i="4"/>
  <c r="P44" i="4"/>
  <c r="N44" i="4"/>
  <c r="AD44" i="4" s="1"/>
  <c r="T44" i="4"/>
  <c r="AE170" i="5"/>
  <c r="AE175" i="5"/>
  <c r="R41" i="4"/>
  <c r="I41" i="4"/>
  <c r="T41" i="4"/>
  <c r="S41" i="4"/>
  <c r="N41" i="4"/>
  <c r="AD41" i="4" s="1"/>
  <c r="P41" i="4"/>
  <c r="R45" i="4"/>
  <c r="I45" i="4"/>
  <c r="P45" i="4"/>
  <c r="N45" i="4"/>
  <c r="AD45" i="4" s="1"/>
  <c r="T45" i="4"/>
  <c r="S45" i="4"/>
  <c r="R42" i="4"/>
  <c r="I42" i="4"/>
  <c r="P42" i="4"/>
  <c r="T42" i="4"/>
  <c r="N42" i="4"/>
  <c r="AD42" i="4" s="1"/>
  <c r="S42" i="4"/>
  <c r="R46" i="4"/>
  <c r="I46" i="4"/>
  <c r="S46" i="4"/>
  <c r="N46" i="4"/>
  <c r="AD46" i="4" s="1"/>
  <c r="P46" i="4"/>
  <c r="T46" i="4"/>
  <c r="AE65" i="4"/>
  <c r="R47" i="4"/>
  <c r="I47" i="4"/>
  <c r="N47" i="4"/>
  <c r="AD47" i="4" s="1"/>
  <c r="T47" i="4"/>
  <c r="P47" i="4"/>
  <c r="S47" i="4"/>
  <c r="T16" i="5"/>
  <c r="T16" i="6"/>
  <c r="L160" i="6"/>
  <c r="AE160" i="6" s="1"/>
  <c r="AE118" i="6"/>
  <c r="L169" i="6"/>
  <c r="AE169" i="6" s="1"/>
  <c r="AE127" i="6"/>
  <c r="L172" i="6"/>
  <c r="L214" i="6" s="1"/>
  <c r="L256" i="6" s="1"/>
  <c r="L298" i="6" s="1"/>
  <c r="L340" i="6" s="1"/>
  <c r="L149" i="6"/>
  <c r="AE149" i="6" s="1"/>
  <c r="AE107" i="6"/>
  <c r="L153" i="6"/>
  <c r="AE153" i="6" s="1"/>
  <c r="AE111" i="6"/>
  <c r="L156" i="6"/>
  <c r="AE156" i="6" s="1"/>
  <c r="AE114" i="6"/>
  <c r="L161" i="6"/>
  <c r="AE161" i="6" s="1"/>
  <c r="AE119" i="6"/>
  <c r="L164" i="6"/>
  <c r="L206" i="6" s="1"/>
  <c r="L248" i="6" s="1"/>
  <c r="L290" i="6" s="1"/>
  <c r="L332" i="6" s="1"/>
  <c r="L173" i="6"/>
  <c r="AE173" i="6" s="1"/>
  <c r="AE131" i="6"/>
  <c r="L152" i="6"/>
  <c r="AE152" i="6" s="1"/>
  <c r="AE110" i="6"/>
  <c r="L157" i="6"/>
  <c r="AE157" i="6" s="1"/>
  <c r="AE115" i="6"/>
  <c r="L165" i="6"/>
  <c r="AE165" i="6" s="1"/>
  <c r="AE123" i="6"/>
  <c r="L168" i="6"/>
  <c r="AE168" i="6" s="1"/>
  <c r="AE126" i="6"/>
  <c r="AE154" i="5"/>
  <c r="AE159" i="5"/>
  <c r="AE162" i="5"/>
  <c r="AE167" i="5"/>
  <c r="AE155" i="5"/>
  <c r="AE158" i="5"/>
  <c r="AE163" i="5"/>
  <c r="AE166" i="5"/>
  <c r="AE171" i="5"/>
  <c r="AE174" i="5"/>
  <c r="L88" i="4"/>
  <c r="L110" i="4" s="1"/>
  <c r="L132" i="4" s="1"/>
  <c r="AE66" i="4"/>
  <c r="L91" i="4"/>
  <c r="AE69" i="4"/>
  <c r="L92" i="4"/>
  <c r="L114" i="4" s="1"/>
  <c r="AE70" i="4"/>
  <c r="L86" i="4"/>
  <c r="AE86" i="4" s="1"/>
  <c r="AE64" i="4"/>
  <c r="L85" i="4"/>
  <c r="AE63" i="4"/>
  <c r="AE38" i="4"/>
  <c r="N39" i="4"/>
  <c r="AD39" i="4" s="1"/>
  <c r="AE60" i="6"/>
  <c r="L62" i="4"/>
  <c r="M68" i="4"/>
  <c r="M90" i="4" s="1"/>
  <c r="M112" i="4" s="1"/>
  <c r="M134" i="4" s="1"/>
  <c r="M156" i="4" s="1"/>
  <c r="M178" i="4" s="1"/>
  <c r="L67" i="4"/>
  <c r="AE67" i="4" s="1"/>
  <c r="P26" i="4"/>
  <c r="L48" i="4"/>
  <c r="L139" i="5"/>
  <c r="M48" i="4"/>
  <c r="O71" i="5"/>
  <c r="L222" i="5"/>
  <c r="AE222" i="5" s="1"/>
  <c r="L221" i="5"/>
  <c r="AE221" i="5" s="1"/>
  <c r="L225" i="5"/>
  <c r="AE225" i="5" s="1"/>
  <c r="L229" i="5"/>
  <c r="AE229" i="5" s="1"/>
  <c r="L233" i="5"/>
  <c r="AE233" i="5" s="1"/>
  <c r="L237" i="5"/>
  <c r="AE237" i="5" s="1"/>
  <c r="L241" i="5"/>
  <c r="AE241" i="5" s="1"/>
  <c r="M88" i="4"/>
  <c r="M110" i="4" s="1"/>
  <c r="M132" i="4" s="1"/>
  <c r="M154" i="4" s="1"/>
  <c r="M176" i="4" s="1"/>
  <c r="M84" i="4"/>
  <c r="M106" i="4" s="1"/>
  <c r="M128" i="4" s="1"/>
  <c r="M150" i="4" s="1"/>
  <c r="M172" i="4" s="1"/>
  <c r="M92" i="4"/>
  <c r="M114" i="4" s="1"/>
  <c r="M136" i="4" s="1"/>
  <c r="M158" i="4" s="1"/>
  <c r="M180" i="4" s="1"/>
  <c r="L87" i="4"/>
  <c r="M219" i="5"/>
  <c r="M207" i="5"/>
  <c r="L226" i="5"/>
  <c r="AE226" i="5" s="1"/>
  <c r="L230" i="5"/>
  <c r="AE230" i="5" s="1"/>
  <c r="L234" i="5"/>
  <c r="AE234" i="5" s="1"/>
  <c r="L238" i="5"/>
  <c r="AE238" i="5" s="1"/>
  <c r="L242" i="5"/>
  <c r="AE242" i="5" s="1"/>
  <c r="L61" i="4"/>
  <c r="AE61" i="4" s="1"/>
  <c r="L153" i="5"/>
  <c r="AE153" i="5" s="1"/>
  <c r="L157" i="5"/>
  <c r="AE157" i="5" s="1"/>
  <c r="L161" i="5"/>
  <c r="AE161" i="5" s="1"/>
  <c r="L165" i="5"/>
  <c r="AE165" i="5" s="1"/>
  <c r="L169" i="5"/>
  <c r="AE169" i="5" s="1"/>
  <c r="L173" i="5"/>
  <c r="AE173" i="5" s="1"/>
  <c r="L177" i="5"/>
  <c r="AE177" i="5" s="1"/>
  <c r="L181" i="5"/>
  <c r="AE181" i="5" s="1"/>
  <c r="L185" i="5"/>
  <c r="AE185" i="5" s="1"/>
  <c r="L189" i="5"/>
  <c r="AE189" i="5" s="1"/>
  <c r="L193" i="5"/>
  <c r="AE193" i="5" s="1"/>
  <c r="L197" i="5"/>
  <c r="AE197" i="5" s="1"/>
  <c r="L201" i="5"/>
  <c r="AE201" i="5" s="1"/>
  <c r="L205" i="5"/>
  <c r="AE205" i="5" s="1"/>
  <c r="M139" i="5"/>
  <c r="L152" i="5"/>
  <c r="AE152" i="5" s="1"/>
  <c r="L156" i="5"/>
  <c r="AE156" i="5" s="1"/>
  <c r="L160" i="5"/>
  <c r="AE160" i="5" s="1"/>
  <c r="L164" i="5"/>
  <c r="AE164" i="5" s="1"/>
  <c r="L168" i="5"/>
  <c r="AE168" i="5" s="1"/>
  <c r="L172" i="5"/>
  <c r="AE172" i="5" s="1"/>
  <c r="L176" i="5"/>
  <c r="AE176" i="5" s="1"/>
  <c r="L180" i="5"/>
  <c r="AE180" i="5" s="1"/>
  <c r="L184" i="5"/>
  <c r="AE184" i="5" s="1"/>
  <c r="L188" i="5"/>
  <c r="AE188" i="5" s="1"/>
  <c r="L192" i="5"/>
  <c r="AE192" i="5" s="1"/>
  <c r="L196" i="5"/>
  <c r="AE196" i="5" s="1"/>
  <c r="L200" i="5"/>
  <c r="AE200" i="5" s="1"/>
  <c r="L204" i="5"/>
  <c r="AE204" i="5" s="1"/>
  <c r="L179" i="5"/>
  <c r="AE179" i="5" s="1"/>
  <c r="L183" i="5"/>
  <c r="AE183" i="5" s="1"/>
  <c r="L187" i="5"/>
  <c r="AE187" i="5" s="1"/>
  <c r="L191" i="5"/>
  <c r="AE191" i="5" s="1"/>
  <c r="L195" i="5"/>
  <c r="AE195" i="5" s="1"/>
  <c r="L199" i="5"/>
  <c r="AE199" i="5" s="1"/>
  <c r="L203" i="5"/>
  <c r="AE203" i="5" s="1"/>
  <c r="L178" i="5"/>
  <c r="AE178" i="5" s="1"/>
  <c r="L182" i="5"/>
  <c r="AE182" i="5" s="1"/>
  <c r="L186" i="5"/>
  <c r="AE186" i="5" s="1"/>
  <c r="L190" i="5"/>
  <c r="AE190" i="5" s="1"/>
  <c r="L194" i="5"/>
  <c r="AE194" i="5" s="1"/>
  <c r="L198" i="5"/>
  <c r="AE198" i="5" s="1"/>
  <c r="L202" i="5"/>
  <c r="AE202" i="5" s="1"/>
  <c r="L206" i="5"/>
  <c r="AE206" i="5" s="1"/>
  <c r="M89" i="6"/>
  <c r="M103" i="6"/>
  <c r="M145" i="6" s="1"/>
  <c r="P71" i="5"/>
  <c r="L105" i="6"/>
  <c r="AE105" i="6" s="1"/>
  <c r="M106" i="6"/>
  <c r="M148" i="6" s="1"/>
  <c r="M190" i="6" s="1"/>
  <c r="M232" i="6" s="1"/>
  <c r="M274" i="6" s="1"/>
  <c r="M316" i="6" s="1"/>
  <c r="L109" i="6"/>
  <c r="AE109" i="6" s="1"/>
  <c r="L113" i="6"/>
  <c r="AE113" i="6" s="1"/>
  <c r="L117" i="6"/>
  <c r="AE117" i="6" s="1"/>
  <c r="L121" i="6"/>
  <c r="AE121" i="6" s="1"/>
  <c r="M122" i="6"/>
  <c r="M164" i="6" s="1"/>
  <c r="M206" i="6" s="1"/>
  <c r="M248" i="6" s="1"/>
  <c r="M290" i="6" s="1"/>
  <c r="M332" i="6" s="1"/>
  <c r="L125" i="6"/>
  <c r="AE125" i="6" s="1"/>
  <c r="L129" i="6"/>
  <c r="AE129" i="6" s="1"/>
  <c r="M130" i="6"/>
  <c r="M172" i="6" s="1"/>
  <c r="M214" i="6" s="1"/>
  <c r="M256" i="6" s="1"/>
  <c r="M298" i="6" s="1"/>
  <c r="M340" i="6" s="1"/>
  <c r="L148" i="6"/>
  <c r="L89" i="6"/>
  <c r="L104" i="6"/>
  <c r="AE104" i="6" s="1"/>
  <c r="L108" i="6"/>
  <c r="AE108" i="6" s="1"/>
  <c r="L112" i="6"/>
  <c r="AE112" i="6" s="1"/>
  <c r="L116" i="6"/>
  <c r="AE116" i="6" s="1"/>
  <c r="L120" i="6"/>
  <c r="AE120" i="6" s="1"/>
  <c r="L124" i="6"/>
  <c r="AE124" i="6" s="1"/>
  <c r="L128" i="6"/>
  <c r="AE128" i="6" s="1"/>
  <c r="P46" i="6"/>
  <c r="L103" i="6"/>
  <c r="L102" i="6"/>
  <c r="AE102" i="6" s="1"/>
  <c r="M107" i="4"/>
  <c r="M129" i="4" s="1"/>
  <c r="M151" i="4" s="1"/>
  <c r="M173" i="4" s="1"/>
  <c r="M109" i="4"/>
  <c r="M131" i="4" s="1"/>
  <c r="M153" i="4" s="1"/>
  <c r="M175" i="4" s="1"/>
  <c r="M83" i="4"/>
  <c r="L90" i="4"/>
  <c r="M91" i="4"/>
  <c r="M113" i="4" s="1"/>
  <c r="M135" i="4" s="1"/>
  <c r="M157" i="4" s="1"/>
  <c r="M179" i="4" s="1"/>
  <c r="L210" i="6" l="1"/>
  <c r="AE210" i="6" s="1"/>
  <c r="L215" i="6"/>
  <c r="AE215" i="6" s="1"/>
  <c r="AE332" i="6"/>
  <c r="AE340" i="6"/>
  <c r="L211" i="6"/>
  <c r="AE211" i="6" s="1"/>
  <c r="AE290" i="6"/>
  <c r="L199" i="6"/>
  <c r="AE199" i="6" s="1"/>
  <c r="AE298" i="6"/>
  <c r="L108" i="4"/>
  <c r="L257" i="6"/>
  <c r="AE132" i="4"/>
  <c r="L154" i="4"/>
  <c r="AE248" i="6"/>
  <c r="AE256" i="6"/>
  <c r="AE90" i="4"/>
  <c r="AE103" i="6"/>
  <c r="L252" i="6"/>
  <c r="L195" i="6"/>
  <c r="L202" i="6"/>
  <c r="AE108" i="4"/>
  <c r="L130" i="4"/>
  <c r="AE114" i="4"/>
  <c r="L136" i="4"/>
  <c r="P39" i="4"/>
  <c r="R39" i="4" s="1"/>
  <c r="L203" i="6"/>
  <c r="L198" i="6"/>
  <c r="L194" i="6"/>
  <c r="L191" i="6"/>
  <c r="AE110" i="4"/>
  <c r="AE148" i="6"/>
  <c r="AE122" i="6"/>
  <c r="L207" i="6"/>
  <c r="AE106" i="6"/>
  <c r="AE164" i="6"/>
  <c r="AE214" i="6"/>
  <c r="AE130" i="6"/>
  <c r="AE206" i="6"/>
  <c r="AE172" i="6"/>
  <c r="AE68" i="4"/>
  <c r="L113" i="4"/>
  <c r="AE91" i="4"/>
  <c r="L109" i="4"/>
  <c r="AE87" i="4"/>
  <c r="L107" i="4"/>
  <c r="AE85" i="4"/>
  <c r="AE92" i="4"/>
  <c r="AE88" i="4"/>
  <c r="L84" i="4"/>
  <c r="AE62" i="4"/>
  <c r="M71" i="4"/>
  <c r="L89" i="4"/>
  <c r="AE89" i="4" s="1"/>
  <c r="M93" i="4"/>
  <c r="L272" i="5"/>
  <c r="AE272" i="5" s="1"/>
  <c r="L264" i="5"/>
  <c r="AE264" i="5" s="1"/>
  <c r="L256" i="5"/>
  <c r="AE256" i="5" s="1"/>
  <c r="L248" i="5"/>
  <c r="AE248" i="5" s="1"/>
  <c r="L240" i="5"/>
  <c r="AE240" i="5" s="1"/>
  <c r="L232" i="5"/>
  <c r="AE232" i="5" s="1"/>
  <c r="L224" i="5"/>
  <c r="AE224" i="5" s="1"/>
  <c r="L71" i="4"/>
  <c r="L83" i="4"/>
  <c r="AE83" i="4" s="1"/>
  <c r="L289" i="5"/>
  <c r="L144" i="6"/>
  <c r="AE144" i="6" s="1"/>
  <c r="L273" i="5"/>
  <c r="AE273" i="5" s="1"/>
  <c r="L265" i="5"/>
  <c r="AE265" i="5" s="1"/>
  <c r="L257" i="5"/>
  <c r="AE257" i="5" s="1"/>
  <c r="L249" i="5"/>
  <c r="AE249" i="5" s="1"/>
  <c r="L266" i="5"/>
  <c r="AE266" i="5" s="1"/>
  <c r="L258" i="5"/>
  <c r="AE258" i="5" s="1"/>
  <c r="L250" i="5"/>
  <c r="AE250" i="5" s="1"/>
  <c r="L271" i="5"/>
  <c r="AE271" i="5" s="1"/>
  <c r="L263" i="5"/>
  <c r="AE263" i="5" s="1"/>
  <c r="L255" i="5"/>
  <c r="AE255" i="5" s="1"/>
  <c r="L247" i="5"/>
  <c r="AE247" i="5" s="1"/>
  <c r="L239" i="5"/>
  <c r="AE239" i="5" s="1"/>
  <c r="L231" i="5"/>
  <c r="AE231" i="5" s="1"/>
  <c r="L223" i="5"/>
  <c r="AE223" i="5" s="1"/>
  <c r="L308" i="5"/>
  <c r="L304" i="5"/>
  <c r="L300" i="5"/>
  <c r="L296" i="5"/>
  <c r="L292" i="5"/>
  <c r="L288" i="5"/>
  <c r="L268" i="5"/>
  <c r="AE268" i="5" s="1"/>
  <c r="L260" i="5"/>
  <c r="AE260" i="5" s="1"/>
  <c r="L252" i="5"/>
  <c r="AE252" i="5" s="1"/>
  <c r="L244" i="5"/>
  <c r="AE244" i="5" s="1"/>
  <c r="L236" i="5"/>
  <c r="AE236" i="5" s="1"/>
  <c r="L228" i="5"/>
  <c r="AE228" i="5" s="1"/>
  <c r="L220" i="5"/>
  <c r="AE220" i="5" s="1"/>
  <c r="M286" i="5"/>
  <c r="M274" i="5"/>
  <c r="L269" i="5"/>
  <c r="AE269" i="5" s="1"/>
  <c r="L261" i="5"/>
  <c r="AE261" i="5" s="1"/>
  <c r="L253" i="5"/>
  <c r="AE253" i="5" s="1"/>
  <c r="L245" i="5"/>
  <c r="AE245" i="5" s="1"/>
  <c r="L270" i="5"/>
  <c r="AE270" i="5" s="1"/>
  <c r="L262" i="5"/>
  <c r="AE262" i="5" s="1"/>
  <c r="L254" i="5"/>
  <c r="AE254" i="5" s="1"/>
  <c r="L246" i="5"/>
  <c r="AE246" i="5" s="1"/>
  <c r="L267" i="5"/>
  <c r="AE267" i="5" s="1"/>
  <c r="L259" i="5"/>
  <c r="AE259" i="5" s="1"/>
  <c r="L251" i="5"/>
  <c r="AE251" i="5" s="1"/>
  <c r="L243" i="5"/>
  <c r="AE243" i="5" s="1"/>
  <c r="L235" i="5"/>
  <c r="AE235" i="5" s="1"/>
  <c r="L227" i="5"/>
  <c r="AE227" i="5" s="1"/>
  <c r="L219" i="5"/>
  <c r="AE219" i="5" s="1"/>
  <c r="L207" i="5"/>
  <c r="L309" i="5"/>
  <c r="L305" i="5"/>
  <c r="L301" i="5"/>
  <c r="L297" i="5"/>
  <c r="L293" i="5"/>
  <c r="L132" i="6"/>
  <c r="L145" i="6"/>
  <c r="AE145" i="6" s="1"/>
  <c r="L154" i="6"/>
  <c r="AE154" i="6" s="1"/>
  <c r="L162" i="6"/>
  <c r="AE162" i="6" s="1"/>
  <c r="L159" i="6"/>
  <c r="AE159" i="6" s="1"/>
  <c r="L151" i="6"/>
  <c r="AE151" i="6" s="1"/>
  <c r="L167" i="6"/>
  <c r="AE167" i="6" s="1"/>
  <c r="L147" i="6"/>
  <c r="AE147" i="6" s="1"/>
  <c r="L170" i="6"/>
  <c r="AE170" i="6" s="1"/>
  <c r="L150" i="6"/>
  <c r="AE150" i="6" s="1"/>
  <c r="L190" i="6"/>
  <c r="L171" i="6"/>
  <c r="AE171" i="6" s="1"/>
  <c r="L166" i="6"/>
  <c r="AE166" i="6" s="1"/>
  <c r="M174" i="6"/>
  <c r="M187" i="6"/>
  <c r="L158" i="6"/>
  <c r="AE158" i="6" s="1"/>
  <c r="L146" i="6"/>
  <c r="AE146" i="6" s="1"/>
  <c r="L163" i="6"/>
  <c r="AE163" i="6" s="1"/>
  <c r="L155" i="6"/>
  <c r="AE155" i="6" s="1"/>
  <c r="M132" i="6"/>
  <c r="M105" i="4"/>
  <c r="M127" i="4" s="1"/>
  <c r="L112" i="4"/>
  <c r="L253" i="6" l="1"/>
  <c r="AE154" i="4"/>
  <c r="L176" i="4"/>
  <c r="AE176" i="4" s="1"/>
  <c r="L241" i="6"/>
  <c r="AE241" i="6" s="1"/>
  <c r="AE253" i="6"/>
  <c r="L295" i="6"/>
  <c r="AE252" i="6"/>
  <c r="L294" i="6"/>
  <c r="AE257" i="6"/>
  <c r="L299" i="6"/>
  <c r="AE296" i="5"/>
  <c r="L363" i="5"/>
  <c r="AE194" i="6"/>
  <c r="L236" i="6"/>
  <c r="AE202" i="6"/>
  <c r="L244" i="6"/>
  <c r="M216" i="6"/>
  <c r="M229" i="6"/>
  <c r="AE297" i="5"/>
  <c r="L364" i="5"/>
  <c r="AE300" i="5"/>
  <c r="L367" i="5"/>
  <c r="AE207" i="6"/>
  <c r="L249" i="6"/>
  <c r="AE198" i="6"/>
  <c r="L240" i="6"/>
  <c r="AE195" i="6"/>
  <c r="L237" i="6"/>
  <c r="AE301" i="5"/>
  <c r="L368" i="5"/>
  <c r="AE308" i="5"/>
  <c r="L375" i="5"/>
  <c r="AE289" i="5"/>
  <c r="L356" i="5"/>
  <c r="AE309" i="5"/>
  <c r="L376" i="5"/>
  <c r="AE136" i="4"/>
  <c r="L158" i="4"/>
  <c r="AE305" i="5"/>
  <c r="L372" i="5"/>
  <c r="AE293" i="5"/>
  <c r="L360" i="5"/>
  <c r="M137" i="4"/>
  <c r="M149" i="4"/>
  <c r="M341" i="5"/>
  <c r="M353" i="5"/>
  <c r="AE288" i="5"/>
  <c r="L355" i="5"/>
  <c r="AE130" i="4"/>
  <c r="L152" i="4"/>
  <c r="AE304" i="5"/>
  <c r="L371" i="5"/>
  <c r="AE203" i="6"/>
  <c r="L245" i="6"/>
  <c r="AE190" i="6"/>
  <c r="L232" i="6"/>
  <c r="AE292" i="5"/>
  <c r="L359" i="5"/>
  <c r="AE191" i="6"/>
  <c r="L233" i="6"/>
  <c r="AE112" i="4"/>
  <c r="L134" i="4"/>
  <c r="AE109" i="4"/>
  <c r="L131" i="4"/>
  <c r="AE107" i="4"/>
  <c r="L129" i="4"/>
  <c r="AE113" i="4"/>
  <c r="L135" i="4"/>
  <c r="L106" i="4"/>
  <c r="AE84" i="4"/>
  <c r="L111" i="4"/>
  <c r="M115" i="4"/>
  <c r="L286" i="5"/>
  <c r="L274" i="5"/>
  <c r="L302" i="5"/>
  <c r="L318" i="5"/>
  <c r="L334" i="5"/>
  <c r="L321" i="5"/>
  <c r="L337" i="5"/>
  <c r="L320" i="5"/>
  <c r="L336" i="5"/>
  <c r="L287" i="5"/>
  <c r="L303" i="5"/>
  <c r="L319" i="5"/>
  <c r="L335" i="5"/>
  <c r="L290" i="5"/>
  <c r="L306" i="5"/>
  <c r="L322" i="5"/>
  <c r="L338" i="5"/>
  <c r="L325" i="5"/>
  <c r="L324" i="5"/>
  <c r="L340" i="5"/>
  <c r="L291" i="5"/>
  <c r="L307" i="5"/>
  <c r="L323" i="5"/>
  <c r="L339" i="5"/>
  <c r="L294" i="5"/>
  <c r="L310" i="5"/>
  <c r="L326" i="5"/>
  <c r="L313" i="5"/>
  <c r="L329" i="5"/>
  <c r="L312" i="5"/>
  <c r="L328" i="5"/>
  <c r="L295" i="5"/>
  <c r="L311" i="5"/>
  <c r="L327" i="5"/>
  <c r="L298" i="5"/>
  <c r="L314" i="5"/>
  <c r="L330" i="5"/>
  <c r="L317" i="5"/>
  <c r="L333" i="5"/>
  <c r="L316" i="5"/>
  <c r="L332" i="5"/>
  <c r="L186" i="6"/>
  <c r="L105" i="4"/>
  <c r="L127" i="4" s="1"/>
  <c r="L149" i="4" s="1"/>
  <c r="L171" i="4" s="1"/>
  <c r="L93" i="4"/>
  <c r="L299" i="5"/>
  <c r="L315" i="5"/>
  <c r="L331" i="5"/>
  <c r="L213" i="6"/>
  <c r="L196" i="6"/>
  <c r="L200" i="6"/>
  <c r="L193" i="6"/>
  <c r="L174" i="6"/>
  <c r="L187" i="6"/>
  <c r="L197" i="6"/>
  <c r="L209" i="6"/>
  <c r="L205" i="6"/>
  <c r="L208" i="6"/>
  <c r="L204" i="6"/>
  <c r="L189" i="6"/>
  <c r="L188" i="6"/>
  <c r="L192" i="6"/>
  <c r="L212" i="6"/>
  <c r="L201" i="6"/>
  <c r="I16" i="3"/>
  <c r="H24" i="7"/>
  <c r="L283" i="6" l="1"/>
  <c r="AE283" i="6" s="1"/>
  <c r="AE371" i="5"/>
  <c r="L438" i="5"/>
  <c r="AE438" i="5" s="1"/>
  <c r="AE367" i="5"/>
  <c r="L434" i="5"/>
  <c r="AE434" i="5" s="1"/>
  <c r="M408" i="5"/>
  <c r="M420" i="5"/>
  <c r="M475" i="5" s="1"/>
  <c r="AE299" i="6"/>
  <c r="L341" i="6"/>
  <c r="AE341" i="6" s="1"/>
  <c r="AE152" i="4"/>
  <c r="L174" i="4"/>
  <c r="AE174" i="4" s="1"/>
  <c r="M159" i="4"/>
  <c r="M171" i="4"/>
  <c r="M181" i="4" s="1"/>
  <c r="AE158" i="4"/>
  <c r="L180" i="4"/>
  <c r="AE180" i="4" s="1"/>
  <c r="AE375" i="5"/>
  <c r="L442" i="5"/>
  <c r="AE442" i="5" s="1"/>
  <c r="AE364" i="5"/>
  <c r="L431" i="5"/>
  <c r="AE431" i="5" s="1"/>
  <c r="AE359" i="5"/>
  <c r="L426" i="5"/>
  <c r="AE426" i="5" s="1"/>
  <c r="AE356" i="5"/>
  <c r="L423" i="5"/>
  <c r="AE423" i="5" s="1"/>
  <c r="AE295" i="6"/>
  <c r="L337" i="6"/>
  <c r="AE337" i="6" s="1"/>
  <c r="AE372" i="5"/>
  <c r="L439" i="5"/>
  <c r="AE439" i="5" s="1"/>
  <c r="AE355" i="5"/>
  <c r="L422" i="5"/>
  <c r="AE422" i="5" s="1"/>
  <c r="AE360" i="5"/>
  <c r="L427" i="5"/>
  <c r="AE427" i="5" s="1"/>
  <c r="AE376" i="5"/>
  <c r="L443" i="5"/>
  <c r="AE443" i="5" s="1"/>
  <c r="AE368" i="5"/>
  <c r="L435" i="5"/>
  <c r="AE435" i="5" s="1"/>
  <c r="AE363" i="5"/>
  <c r="L430" i="5"/>
  <c r="AE430" i="5" s="1"/>
  <c r="AE294" i="6"/>
  <c r="L336" i="6"/>
  <c r="AE336" i="6" s="1"/>
  <c r="AE232" i="6"/>
  <c r="L274" i="6"/>
  <c r="AE240" i="6"/>
  <c r="L282" i="6"/>
  <c r="AE245" i="6"/>
  <c r="L287" i="6"/>
  <c r="AE236" i="6"/>
  <c r="L278" i="6"/>
  <c r="AE244" i="6"/>
  <c r="L286" i="6"/>
  <c r="AE233" i="6"/>
  <c r="L275" i="6"/>
  <c r="AE237" i="6"/>
  <c r="L279" i="6"/>
  <c r="M258" i="6"/>
  <c r="M271" i="6"/>
  <c r="M313" i="6" s="1"/>
  <c r="M342" i="6" s="1"/>
  <c r="AE249" i="6"/>
  <c r="L291" i="6"/>
  <c r="AE316" i="5"/>
  <c r="L383" i="5"/>
  <c r="AE320" i="5"/>
  <c r="L387" i="5"/>
  <c r="AE333" i="5"/>
  <c r="L400" i="5"/>
  <c r="AE306" i="5"/>
  <c r="L373" i="5"/>
  <c r="AE212" i="6"/>
  <c r="L254" i="6"/>
  <c r="AE290" i="5"/>
  <c r="L357" i="5"/>
  <c r="AE192" i="6"/>
  <c r="L234" i="6"/>
  <c r="AE187" i="6"/>
  <c r="L229" i="6"/>
  <c r="AE299" i="5"/>
  <c r="L366" i="5"/>
  <c r="AE330" i="5"/>
  <c r="L397" i="5"/>
  <c r="AE329" i="5"/>
  <c r="L396" i="5"/>
  <c r="AE291" i="5"/>
  <c r="L358" i="5"/>
  <c r="AE335" i="5"/>
  <c r="L402" i="5"/>
  <c r="AE334" i="5"/>
  <c r="L401" i="5"/>
  <c r="AE205" i="6"/>
  <c r="L247" i="6"/>
  <c r="AE322" i="5"/>
  <c r="L389" i="5"/>
  <c r="AE209" i="6"/>
  <c r="L251" i="6"/>
  <c r="AE315" i="5"/>
  <c r="L382" i="5"/>
  <c r="AE317" i="5"/>
  <c r="L384" i="5"/>
  <c r="AE312" i="5"/>
  <c r="L379" i="5"/>
  <c r="AE321" i="5"/>
  <c r="L388" i="5"/>
  <c r="AE131" i="4"/>
  <c r="L153" i="4"/>
  <c r="AE188" i="6"/>
  <c r="L230" i="6"/>
  <c r="AE340" i="5"/>
  <c r="L407" i="5"/>
  <c r="AE318" i="5"/>
  <c r="L385" i="5"/>
  <c r="AE189" i="6"/>
  <c r="L231" i="6"/>
  <c r="AE193" i="6"/>
  <c r="L235" i="6"/>
  <c r="AE149" i="4"/>
  <c r="AE298" i="5"/>
  <c r="L365" i="5"/>
  <c r="AE326" i="5"/>
  <c r="L393" i="5"/>
  <c r="AE324" i="5"/>
  <c r="L391" i="5"/>
  <c r="AE303" i="5"/>
  <c r="L370" i="5"/>
  <c r="AE302" i="5"/>
  <c r="L369" i="5"/>
  <c r="AE213" i="6"/>
  <c r="L255" i="6"/>
  <c r="AE339" i="5"/>
  <c r="L406" i="5"/>
  <c r="AE129" i="4"/>
  <c r="L151" i="4"/>
  <c r="AE201" i="6"/>
  <c r="L243" i="6"/>
  <c r="AE337" i="5"/>
  <c r="L404" i="5"/>
  <c r="I36" i="3"/>
  <c r="I37" i="3"/>
  <c r="AE295" i="5"/>
  <c r="L362" i="5"/>
  <c r="AE331" i="5"/>
  <c r="L398" i="5"/>
  <c r="AE328" i="5"/>
  <c r="L395" i="5"/>
  <c r="AE323" i="5"/>
  <c r="L390" i="5"/>
  <c r="AE197" i="6"/>
  <c r="L239" i="6"/>
  <c r="AE307" i="5"/>
  <c r="L374" i="5"/>
  <c r="AE314" i="5"/>
  <c r="L381" i="5"/>
  <c r="AE313" i="5"/>
  <c r="L380" i="5"/>
  <c r="AE319" i="5"/>
  <c r="L386" i="5"/>
  <c r="AE134" i="4"/>
  <c r="L156" i="4"/>
  <c r="AE204" i="6"/>
  <c r="L246" i="6"/>
  <c r="AE200" i="6"/>
  <c r="L242" i="6"/>
  <c r="AE186" i="6"/>
  <c r="L228" i="6"/>
  <c r="L270" i="6" s="1"/>
  <c r="L312" i="6" s="1"/>
  <c r="AE327" i="5"/>
  <c r="L394" i="5"/>
  <c r="AE310" i="5"/>
  <c r="L377" i="5"/>
  <c r="AE325" i="5"/>
  <c r="L392" i="5"/>
  <c r="AE287" i="5"/>
  <c r="L354" i="5"/>
  <c r="AE135" i="4"/>
  <c r="L157" i="4"/>
  <c r="AE208" i="6"/>
  <c r="L250" i="6"/>
  <c r="AE196" i="6"/>
  <c r="L238" i="6"/>
  <c r="AE332" i="5"/>
  <c r="L399" i="5"/>
  <c r="AE311" i="5"/>
  <c r="L378" i="5"/>
  <c r="AE294" i="5"/>
  <c r="L361" i="5"/>
  <c r="AE338" i="5"/>
  <c r="L405" i="5"/>
  <c r="AE336" i="5"/>
  <c r="L403" i="5"/>
  <c r="AE286" i="5"/>
  <c r="L353" i="5"/>
  <c r="L420" i="5" s="1"/>
  <c r="AE127" i="4"/>
  <c r="AE111" i="4"/>
  <c r="L133" i="4"/>
  <c r="AE106" i="4"/>
  <c r="L128" i="4"/>
  <c r="J16" i="3"/>
  <c r="L115" i="4"/>
  <c r="AE105" i="4"/>
  <c r="L341" i="5"/>
  <c r="L216" i="6"/>
  <c r="AE171" i="4" l="1"/>
  <c r="L325" i="6"/>
  <c r="AE325" i="6" s="1"/>
  <c r="AE399" i="5"/>
  <c r="L466" i="5"/>
  <c r="AE466" i="5" s="1"/>
  <c r="AE151" i="4"/>
  <c r="L173" i="4"/>
  <c r="AE173" i="4" s="1"/>
  <c r="AE396" i="5"/>
  <c r="L463" i="5"/>
  <c r="AE463" i="5" s="1"/>
  <c r="AE282" i="6"/>
  <c r="L324" i="6"/>
  <c r="AE324" i="6" s="1"/>
  <c r="AE380" i="5"/>
  <c r="L447" i="5"/>
  <c r="AE447" i="5" s="1"/>
  <c r="AE404" i="5"/>
  <c r="L471" i="5"/>
  <c r="AE471" i="5" s="1"/>
  <c r="AE407" i="5"/>
  <c r="L474" i="5"/>
  <c r="AE474" i="5" s="1"/>
  <c r="AE388" i="5"/>
  <c r="L455" i="5"/>
  <c r="AE455" i="5" s="1"/>
  <c r="AE382" i="5"/>
  <c r="L449" i="5"/>
  <c r="AE449" i="5" s="1"/>
  <c r="AE358" i="5"/>
  <c r="L425" i="5"/>
  <c r="AE425" i="5" s="1"/>
  <c r="AE366" i="5"/>
  <c r="L433" i="5"/>
  <c r="AE433" i="5" s="1"/>
  <c r="AE357" i="5"/>
  <c r="L424" i="5"/>
  <c r="AE424" i="5" s="1"/>
  <c r="AE400" i="5"/>
  <c r="L467" i="5"/>
  <c r="AE467" i="5" s="1"/>
  <c r="AE291" i="6"/>
  <c r="L333" i="6"/>
  <c r="AE333" i="6" s="1"/>
  <c r="AE275" i="6"/>
  <c r="L317" i="6"/>
  <c r="AE317" i="6" s="1"/>
  <c r="AE287" i="6"/>
  <c r="L329" i="6"/>
  <c r="AE329" i="6" s="1"/>
  <c r="AE393" i="5"/>
  <c r="L460" i="5"/>
  <c r="AE460" i="5" s="1"/>
  <c r="AE157" i="4"/>
  <c r="L179" i="4"/>
  <c r="AE179" i="4" s="1"/>
  <c r="AE377" i="5"/>
  <c r="L444" i="5"/>
  <c r="AE444" i="5" s="1"/>
  <c r="AE386" i="5"/>
  <c r="L453" i="5"/>
  <c r="AE453" i="5" s="1"/>
  <c r="AE374" i="5"/>
  <c r="L441" i="5"/>
  <c r="AE441" i="5" s="1"/>
  <c r="AE369" i="5"/>
  <c r="L436" i="5"/>
  <c r="AE436" i="5" s="1"/>
  <c r="AE286" i="6"/>
  <c r="L328" i="6"/>
  <c r="AE328" i="6" s="1"/>
  <c r="AE361" i="5"/>
  <c r="L428" i="5"/>
  <c r="AE428" i="5" s="1"/>
  <c r="AE354" i="5"/>
  <c r="L421" i="5"/>
  <c r="AE421" i="5" s="1"/>
  <c r="AE394" i="5"/>
  <c r="L461" i="5"/>
  <c r="AE461" i="5" s="1"/>
  <c r="AE406" i="5"/>
  <c r="L473" i="5"/>
  <c r="AE473" i="5" s="1"/>
  <c r="AE365" i="5"/>
  <c r="L432" i="5"/>
  <c r="AE432" i="5" s="1"/>
  <c r="AE385" i="5"/>
  <c r="L452" i="5"/>
  <c r="AE452" i="5" s="1"/>
  <c r="AE153" i="4"/>
  <c r="L175" i="4"/>
  <c r="AE175" i="4" s="1"/>
  <c r="AE384" i="5"/>
  <c r="L451" i="5"/>
  <c r="AE451" i="5" s="1"/>
  <c r="AE389" i="5"/>
  <c r="L456" i="5"/>
  <c r="AE456" i="5" s="1"/>
  <c r="AE402" i="5"/>
  <c r="L469" i="5"/>
  <c r="AE469" i="5" s="1"/>
  <c r="AE397" i="5"/>
  <c r="L464" i="5"/>
  <c r="AE464" i="5" s="1"/>
  <c r="AE373" i="5"/>
  <c r="L440" i="5"/>
  <c r="AE440" i="5" s="1"/>
  <c r="AE383" i="5"/>
  <c r="L450" i="5"/>
  <c r="AE450" i="5" s="1"/>
  <c r="AE279" i="6"/>
  <c r="L321" i="6"/>
  <c r="AE321" i="6" s="1"/>
  <c r="AE278" i="6"/>
  <c r="L320" i="6"/>
  <c r="AE320" i="6" s="1"/>
  <c r="AE274" i="6"/>
  <c r="L316" i="6"/>
  <c r="AE316" i="6" s="1"/>
  <c r="AE405" i="5"/>
  <c r="L472" i="5"/>
  <c r="AE472" i="5" s="1"/>
  <c r="AE395" i="5"/>
  <c r="L462" i="5"/>
  <c r="AE462" i="5" s="1"/>
  <c r="AE379" i="5"/>
  <c r="L446" i="5"/>
  <c r="AE446" i="5" s="1"/>
  <c r="AE401" i="5"/>
  <c r="L468" i="5"/>
  <c r="AE468" i="5" s="1"/>
  <c r="AE387" i="5"/>
  <c r="L454" i="5"/>
  <c r="AE454" i="5" s="1"/>
  <c r="AE420" i="5"/>
  <c r="AE398" i="5"/>
  <c r="L465" i="5"/>
  <c r="AE465" i="5" s="1"/>
  <c r="AE370" i="5"/>
  <c r="L437" i="5"/>
  <c r="AE437" i="5" s="1"/>
  <c r="AE403" i="5"/>
  <c r="L470" i="5"/>
  <c r="AE470" i="5" s="1"/>
  <c r="AE378" i="5"/>
  <c r="L445" i="5"/>
  <c r="AE445" i="5" s="1"/>
  <c r="AE392" i="5"/>
  <c r="L459" i="5"/>
  <c r="AE459" i="5" s="1"/>
  <c r="AE312" i="6"/>
  <c r="AE156" i="4"/>
  <c r="L178" i="4"/>
  <c r="AE178" i="4" s="1"/>
  <c r="AE381" i="5"/>
  <c r="L448" i="5"/>
  <c r="AE448" i="5" s="1"/>
  <c r="AE390" i="5"/>
  <c r="L457" i="5"/>
  <c r="AE457" i="5" s="1"/>
  <c r="AE362" i="5"/>
  <c r="L429" i="5"/>
  <c r="AE429" i="5" s="1"/>
  <c r="AE391" i="5"/>
  <c r="L458" i="5"/>
  <c r="AE458" i="5" s="1"/>
  <c r="M300" i="6"/>
  <c r="AE231" i="6"/>
  <c r="L273" i="6"/>
  <c r="AE255" i="6"/>
  <c r="L297" i="6"/>
  <c r="AE234" i="6"/>
  <c r="L276" i="6"/>
  <c r="AE242" i="6"/>
  <c r="L284" i="6"/>
  <c r="AE250" i="6"/>
  <c r="L292" i="6"/>
  <c r="AE251" i="6"/>
  <c r="L293" i="6"/>
  <c r="AE254" i="6"/>
  <c r="L296" i="6"/>
  <c r="AE235" i="6"/>
  <c r="L277" i="6"/>
  <c r="AE243" i="6"/>
  <c r="L285" i="6"/>
  <c r="AE230" i="6"/>
  <c r="L272" i="6"/>
  <c r="AE238" i="6"/>
  <c r="L280" i="6"/>
  <c r="AE246" i="6"/>
  <c r="L288" i="6"/>
  <c r="AE229" i="6"/>
  <c r="L271" i="6"/>
  <c r="AE247" i="6"/>
  <c r="L289" i="6"/>
  <c r="AE270" i="6"/>
  <c r="AE239" i="6"/>
  <c r="L281" i="6"/>
  <c r="L258" i="6"/>
  <c r="AE228" i="6"/>
  <c r="AE128" i="4"/>
  <c r="L150" i="4"/>
  <c r="L172" i="4" s="1"/>
  <c r="AE133" i="4"/>
  <c r="L155" i="4"/>
  <c r="L408" i="5"/>
  <c r="AE353" i="5"/>
  <c r="L137" i="4"/>
  <c r="K16" i="3"/>
  <c r="L300" i="6" l="1"/>
  <c r="AE293" i="6"/>
  <c r="L335" i="6"/>
  <c r="AE335" i="6" s="1"/>
  <c r="L475" i="5"/>
  <c r="AE172" i="4"/>
  <c r="AE288" i="6"/>
  <c r="L330" i="6"/>
  <c r="AE330" i="6" s="1"/>
  <c r="AE289" i="6"/>
  <c r="L331" i="6"/>
  <c r="AE331" i="6" s="1"/>
  <c r="AE280" i="6"/>
  <c r="L322" i="6"/>
  <c r="AE322" i="6" s="1"/>
  <c r="AE277" i="6"/>
  <c r="L319" i="6"/>
  <c r="AE319" i="6" s="1"/>
  <c r="AE292" i="6"/>
  <c r="L334" i="6"/>
  <c r="AE334" i="6" s="1"/>
  <c r="AE297" i="6"/>
  <c r="L339" i="6"/>
  <c r="AE339" i="6" s="1"/>
  <c r="AE285" i="6"/>
  <c r="L327" i="6"/>
  <c r="AE327" i="6" s="1"/>
  <c r="AE276" i="6"/>
  <c r="L318" i="6"/>
  <c r="AE318" i="6" s="1"/>
  <c r="AE155" i="4"/>
  <c r="L177" i="4"/>
  <c r="AE177" i="4" s="1"/>
  <c r="AE281" i="6"/>
  <c r="L323" i="6"/>
  <c r="AE323" i="6" s="1"/>
  <c r="AE271" i="6"/>
  <c r="L313" i="6"/>
  <c r="AE272" i="6"/>
  <c r="L314" i="6"/>
  <c r="AE314" i="6" s="1"/>
  <c r="AE296" i="6"/>
  <c r="L338" i="6"/>
  <c r="AE338" i="6" s="1"/>
  <c r="AE284" i="6"/>
  <c r="L326" i="6"/>
  <c r="AE326" i="6" s="1"/>
  <c r="AE273" i="6"/>
  <c r="L315" i="6"/>
  <c r="AE315" i="6" s="1"/>
  <c r="AE150" i="4"/>
  <c r="L159" i="4"/>
  <c r="L16" i="3"/>
  <c r="M16" i="3" s="1"/>
  <c r="N16" i="3" s="1"/>
  <c r="F55" i="12"/>
  <c r="F46" i="12"/>
  <c r="F38" i="12"/>
  <c r="F42" i="12" s="1"/>
  <c r="F23" i="12"/>
  <c r="F15" i="12"/>
  <c r="F17" i="12" s="1"/>
  <c r="F25" i="12" s="1"/>
  <c r="F9" i="13"/>
  <c r="F51" i="11"/>
  <c r="L181" i="4" l="1"/>
  <c r="AE313" i="6"/>
  <c r="L342" i="6"/>
  <c r="F32" i="12"/>
  <c r="F36" i="12" s="1"/>
  <c r="I43" i="3"/>
  <c r="J43" i="3" s="1"/>
  <c r="K43" i="3" s="1"/>
  <c r="L43" i="3" s="1"/>
  <c r="M43" i="3" s="1"/>
  <c r="N43" i="3" s="1"/>
  <c r="I42" i="3"/>
  <c r="J42" i="3" s="1"/>
  <c r="K42" i="3" s="1"/>
  <c r="L42" i="3" s="1"/>
  <c r="M42" i="3" s="1"/>
  <c r="N42" i="3" s="1"/>
  <c r="I41" i="3"/>
  <c r="J41" i="3" s="1"/>
  <c r="K41" i="3" s="1"/>
  <c r="L41" i="3" s="1"/>
  <c r="M41" i="3" s="1"/>
  <c r="N41" i="3" s="1"/>
  <c r="I40" i="3"/>
  <c r="J40" i="3" s="1"/>
  <c r="K40" i="3" s="1"/>
  <c r="L40" i="3" s="1"/>
  <c r="M40" i="3" s="1"/>
  <c r="N40" i="3" s="1"/>
  <c r="I39" i="3"/>
  <c r="J39" i="3" s="1"/>
  <c r="K39" i="3" s="1"/>
  <c r="L39" i="3" s="1"/>
  <c r="M39" i="3" s="1"/>
  <c r="N39" i="3" s="1"/>
  <c r="F57" i="12" l="1"/>
  <c r="I33" i="3"/>
  <c r="J33" i="3" s="1"/>
  <c r="K33" i="3" s="1"/>
  <c r="L33" i="3" s="1"/>
  <c r="M33" i="3" s="1"/>
  <c r="N33" i="3" s="1"/>
  <c r="H34" i="3"/>
  <c r="H90" i="7" l="1"/>
  <c r="I95" i="3" l="1"/>
  <c r="J95" i="3" s="1"/>
  <c r="K95" i="3" s="1"/>
  <c r="L95" i="3" s="1"/>
  <c r="M95" i="3" s="1"/>
  <c r="N95" i="3" s="1"/>
  <c r="I94" i="3"/>
  <c r="J94" i="3" s="1"/>
  <c r="K94" i="3" s="1"/>
  <c r="L94" i="3" s="1"/>
  <c r="M94" i="3" s="1"/>
  <c r="N94" i="3" s="1"/>
  <c r="I93" i="3"/>
  <c r="J93" i="3" s="1"/>
  <c r="K93" i="3" s="1"/>
  <c r="L93" i="3" s="1"/>
  <c r="M93" i="3" s="1"/>
  <c r="N93" i="3" s="1"/>
  <c r="I92" i="3"/>
  <c r="J92" i="3" s="1"/>
  <c r="K92" i="3" s="1"/>
  <c r="L92" i="3" s="1"/>
  <c r="M92" i="3" s="1"/>
  <c r="N92" i="3" s="1"/>
  <c r="I71" i="3"/>
  <c r="J71" i="3" s="1"/>
  <c r="K71" i="3" s="1"/>
  <c r="L71" i="3" s="1"/>
  <c r="M71" i="3" s="1"/>
  <c r="N71" i="3" s="1"/>
  <c r="F38" i="11" l="1"/>
  <c r="F19" i="11"/>
  <c r="C5" i="21" l="1"/>
  <c r="R54" i="21"/>
  <c r="O54" i="21"/>
  <c r="T53" i="21"/>
  <c r="T52" i="21"/>
  <c r="T51" i="21"/>
  <c r="T50" i="21"/>
  <c r="T49" i="21"/>
  <c r="T41" i="21"/>
  <c r="T40" i="21"/>
  <c r="T39" i="21"/>
  <c r="T38" i="21"/>
  <c r="T37" i="21"/>
  <c r="T29" i="21"/>
  <c r="T28" i="21"/>
  <c r="T27" i="21"/>
  <c r="T26" i="21"/>
  <c r="T25" i="21"/>
  <c r="T17" i="21"/>
  <c r="T16" i="21"/>
  <c r="T15" i="21"/>
  <c r="T14" i="21"/>
  <c r="T13" i="21"/>
  <c r="R42" i="21"/>
  <c r="O42" i="21"/>
  <c r="R30" i="21"/>
  <c r="O30" i="21"/>
  <c r="R18" i="21"/>
  <c r="O18" i="21"/>
  <c r="L30" i="21" l="1"/>
  <c r="T30" i="21" s="1"/>
  <c r="L54" i="21"/>
  <c r="T54" i="21" s="1"/>
  <c r="L42" i="21"/>
  <c r="T42" i="21" s="1"/>
  <c r="T48" i="21"/>
  <c r="T24" i="21"/>
  <c r="T36" i="21"/>
  <c r="J31" i="7" l="1"/>
  <c r="J30" i="3"/>
  <c r="J34" i="3" s="1"/>
  <c r="J22" i="3"/>
  <c r="J26" i="3"/>
  <c r="J17" i="7"/>
  <c r="G64" i="14"/>
  <c r="I25" i="2"/>
  <c r="K31" i="3" l="1"/>
  <c r="H45" i="16"/>
  <c r="K31" i="7"/>
  <c r="K26" i="3"/>
  <c r="K30" i="3"/>
  <c r="K34" i="3" s="1"/>
  <c r="K22" i="3"/>
  <c r="K17" i="7"/>
  <c r="H64" i="14"/>
  <c r="J25" i="2"/>
  <c r="L31" i="3" l="1"/>
  <c r="I45" i="16"/>
  <c r="L31" i="7"/>
  <c r="L26" i="3"/>
  <c r="L30" i="3"/>
  <c r="L22" i="3"/>
  <c r="L17" i="7"/>
  <c r="I64" i="14"/>
  <c r="K25" i="2"/>
  <c r="L34" i="3" l="1"/>
  <c r="M31" i="3"/>
  <c r="J45" i="16"/>
  <c r="L25" i="2"/>
  <c r="M31" i="7"/>
  <c r="M30" i="3"/>
  <c r="M22" i="3"/>
  <c r="M26" i="3"/>
  <c r="M17" i="7"/>
  <c r="J64" i="14"/>
  <c r="K61" i="2"/>
  <c r="F39" i="2"/>
  <c r="M34" i="3" l="1"/>
  <c r="K64" i="14"/>
  <c r="K45" i="16"/>
  <c r="N17" i="7"/>
  <c r="N30" i="3"/>
  <c r="N34" i="3" s="1"/>
  <c r="N31" i="7"/>
  <c r="N22" i="3"/>
  <c r="L61" i="2"/>
  <c r="L66" i="2" s="1"/>
  <c r="N26" i="3"/>
  <c r="N31" i="3"/>
  <c r="K66" i="2"/>
  <c r="F40" i="2"/>
  <c r="G13" i="8" l="1"/>
  <c r="H13" i="8" s="1"/>
  <c r="I13" i="8" s="1"/>
  <c r="J13" i="8" s="1"/>
  <c r="K13" i="8" s="1"/>
  <c r="L13" i="8" s="1"/>
  <c r="M13" i="8" s="1"/>
  <c r="N13" i="8" s="1"/>
  <c r="O13" i="8" s="1"/>
  <c r="F23" i="8" s="1"/>
  <c r="G23" i="8" s="1"/>
  <c r="H23" i="8" s="1"/>
  <c r="I23" i="8" s="1"/>
  <c r="J23" i="8" s="1"/>
  <c r="K23" i="8" s="1"/>
  <c r="L23" i="8" s="1"/>
  <c r="M23" i="8" s="1"/>
  <c r="N23" i="8" s="1"/>
  <c r="O23" i="8" s="1"/>
  <c r="C5" i="10"/>
  <c r="G8" i="10"/>
  <c r="H8" i="10" s="1"/>
  <c r="I8" i="10" s="1"/>
  <c r="J8" i="10" s="1"/>
  <c r="K8" i="10" s="1"/>
  <c r="L8" i="10" s="1"/>
  <c r="S46" i="6"/>
  <c r="C5" i="12"/>
  <c r="H14" i="12"/>
  <c r="I14" i="12" s="1"/>
  <c r="J14" i="12" s="1"/>
  <c r="H16" i="12"/>
  <c r="I16" i="12" s="1"/>
  <c r="J16" i="12" s="1"/>
  <c r="K16" i="12" s="1"/>
  <c r="L16" i="12" s="1"/>
  <c r="K39" i="13" s="1"/>
  <c r="H19" i="12"/>
  <c r="I19" i="12" s="1"/>
  <c r="H20" i="12"/>
  <c r="H21" i="12"/>
  <c r="I21" i="12" s="1"/>
  <c r="J21" i="12" s="1"/>
  <c r="H33" i="12"/>
  <c r="I33" i="12" s="1"/>
  <c r="J33" i="12" s="1"/>
  <c r="K33" i="12" s="1"/>
  <c r="L33" i="12" s="1"/>
  <c r="H34" i="12"/>
  <c r="I34" i="12" s="1"/>
  <c r="J34" i="12" s="1"/>
  <c r="K34" i="12" s="1"/>
  <c r="L34" i="12" s="1"/>
  <c r="H35" i="12"/>
  <c r="I35" i="12" s="1"/>
  <c r="J35" i="12" s="1"/>
  <c r="K35" i="12" s="1"/>
  <c r="L35" i="12" s="1"/>
  <c r="H41" i="12"/>
  <c r="I41" i="12" s="1"/>
  <c r="J41" i="12" s="1"/>
  <c r="K41" i="12" s="1"/>
  <c r="L41" i="12" s="1"/>
  <c r="H44" i="12"/>
  <c r="I44" i="12" s="1"/>
  <c r="H45" i="12"/>
  <c r="I45" i="12" s="1"/>
  <c r="J45" i="12" s="1"/>
  <c r="K45" i="12" s="1"/>
  <c r="L45" i="12" s="1"/>
  <c r="G46" i="12"/>
  <c r="H48" i="12"/>
  <c r="I48" i="12" s="1"/>
  <c r="H49" i="12"/>
  <c r="I49" i="12" s="1"/>
  <c r="J49" i="12" s="1"/>
  <c r="K49" i="12" s="1"/>
  <c r="L49" i="12" s="1"/>
  <c r="H50" i="12"/>
  <c r="I50" i="12" s="1"/>
  <c r="H51" i="12"/>
  <c r="I51" i="12" s="1"/>
  <c r="J51" i="12" s="1"/>
  <c r="K51" i="12" s="1"/>
  <c r="L51" i="12" s="1"/>
  <c r="H52" i="12"/>
  <c r="I52" i="12" s="1"/>
  <c r="J52" i="12" s="1"/>
  <c r="K52" i="12" s="1"/>
  <c r="L52" i="12" s="1"/>
  <c r="H53" i="12"/>
  <c r="I53" i="12" s="1"/>
  <c r="J53" i="12" s="1"/>
  <c r="K53" i="12" s="1"/>
  <c r="L53" i="12" s="1"/>
  <c r="H54" i="12"/>
  <c r="I54" i="12" s="1"/>
  <c r="J54" i="12" s="1"/>
  <c r="K54" i="12" s="1"/>
  <c r="L54" i="12" s="1"/>
  <c r="G55" i="12"/>
  <c r="F18" i="10"/>
  <c r="C5" i="9"/>
  <c r="F19" i="8"/>
  <c r="G38" i="12" s="1"/>
  <c r="G42" i="12" s="1"/>
  <c r="F48" i="2"/>
  <c r="F47" i="2"/>
  <c r="F71" i="2"/>
  <c r="H27" i="7" s="1"/>
  <c r="J48" i="12"/>
  <c r="K48" i="12" s="1"/>
  <c r="L48" i="12" s="1"/>
  <c r="J19" i="12"/>
  <c r="K19" i="12" s="1"/>
  <c r="F46" i="2"/>
  <c r="J27" i="3"/>
  <c r="AI17" i="5"/>
  <c r="G85" i="5"/>
  <c r="AI85" i="5" s="1"/>
  <c r="J85" i="5"/>
  <c r="L13" i="9"/>
  <c r="O13" i="9" s="1"/>
  <c r="E9" i="5"/>
  <c r="AK17" i="5"/>
  <c r="AL17" i="5" s="1"/>
  <c r="AM17" i="5" s="1"/>
  <c r="AI16" i="5"/>
  <c r="AK18" i="5"/>
  <c r="AL18" i="5" s="1"/>
  <c r="AM18" i="5" s="1"/>
  <c r="AK19" i="5"/>
  <c r="AL19" i="5" s="1"/>
  <c r="AM19" i="5" s="1"/>
  <c r="AK20" i="5"/>
  <c r="AL20" i="5" s="1"/>
  <c r="AM20" i="5" s="1"/>
  <c r="AK21" i="5"/>
  <c r="AL21" i="5" s="1"/>
  <c r="AM21" i="5" s="1"/>
  <c r="AK22" i="5"/>
  <c r="AL22" i="5" s="1"/>
  <c r="AM22" i="5" s="1"/>
  <c r="AK23" i="5"/>
  <c r="AL23" i="5" s="1"/>
  <c r="AM23" i="5" s="1"/>
  <c r="AK24" i="5"/>
  <c r="AL24" i="5" s="1"/>
  <c r="AM24" i="5" s="1"/>
  <c r="AK25" i="5"/>
  <c r="AL25" i="5" s="1"/>
  <c r="AM25" i="5" s="1"/>
  <c r="AK26" i="5"/>
  <c r="AL26" i="5" s="1"/>
  <c r="AM26" i="5" s="1"/>
  <c r="AK27" i="5"/>
  <c r="AL27" i="5" s="1"/>
  <c r="AM27" i="5" s="1"/>
  <c r="AK28" i="5"/>
  <c r="AL28" i="5" s="1"/>
  <c r="AM28" i="5" s="1"/>
  <c r="AK29" i="5"/>
  <c r="AL29" i="5" s="1"/>
  <c r="AM29" i="5" s="1"/>
  <c r="AK30" i="5"/>
  <c r="AL30" i="5" s="1"/>
  <c r="AM30" i="5" s="1"/>
  <c r="AK31" i="5"/>
  <c r="AL31" i="5" s="1"/>
  <c r="AM31" i="5" s="1"/>
  <c r="AK32" i="5"/>
  <c r="AL32" i="5" s="1"/>
  <c r="AM32" i="5" s="1"/>
  <c r="AK33" i="5"/>
  <c r="AL33" i="5" s="1"/>
  <c r="AM33" i="5" s="1"/>
  <c r="AK34" i="5"/>
  <c r="AL34" i="5" s="1"/>
  <c r="AM34" i="5" s="1"/>
  <c r="AK35" i="5"/>
  <c r="AL35" i="5" s="1"/>
  <c r="AM35" i="5" s="1"/>
  <c r="AK36" i="5"/>
  <c r="AL36" i="5" s="1"/>
  <c r="AM36" i="5" s="1"/>
  <c r="AK37" i="5"/>
  <c r="AL37" i="5" s="1"/>
  <c r="AM37" i="5" s="1"/>
  <c r="AK38" i="5"/>
  <c r="AL38" i="5" s="1"/>
  <c r="AM38" i="5" s="1"/>
  <c r="AK39" i="5"/>
  <c r="AL39" i="5" s="1"/>
  <c r="AM39" i="5" s="1"/>
  <c r="AK40" i="5"/>
  <c r="AL40" i="5" s="1"/>
  <c r="AM40" i="5" s="1"/>
  <c r="AK41" i="5"/>
  <c r="AL41" i="5" s="1"/>
  <c r="AM41" i="5" s="1"/>
  <c r="AK42" i="5"/>
  <c r="AL42" i="5" s="1"/>
  <c r="AM42" i="5" s="1"/>
  <c r="AK43" i="5"/>
  <c r="AL43" i="5" s="1"/>
  <c r="AM43" i="5" s="1"/>
  <c r="AK44" i="5"/>
  <c r="AL44" i="5" s="1"/>
  <c r="AM44" i="5" s="1"/>
  <c r="AK45" i="5"/>
  <c r="AL45" i="5" s="1"/>
  <c r="AM45" i="5" s="1"/>
  <c r="AK46" i="5"/>
  <c r="AL46" i="5" s="1"/>
  <c r="AM46" i="5" s="1"/>
  <c r="AK47" i="5"/>
  <c r="AL47" i="5" s="1"/>
  <c r="AM47" i="5" s="1"/>
  <c r="AK48" i="5"/>
  <c r="AL48" i="5" s="1"/>
  <c r="AM48" i="5" s="1"/>
  <c r="AK49" i="5"/>
  <c r="AL49" i="5" s="1"/>
  <c r="AM49" i="5" s="1"/>
  <c r="AK50" i="5"/>
  <c r="AL50" i="5" s="1"/>
  <c r="AM50" i="5" s="1"/>
  <c r="AK51" i="5"/>
  <c r="AL51" i="5" s="1"/>
  <c r="AM51" i="5" s="1"/>
  <c r="AK52" i="5"/>
  <c r="AL52" i="5" s="1"/>
  <c r="AM52" i="5" s="1"/>
  <c r="AK53" i="5"/>
  <c r="AL53" i="5" s="1"/>
  <c r="AM53" i="5" s="1"/>
  <c r="AK54" i="5"/>
  <c r="AL54" i="5" s="1"/>
  <c r="AM54" i="5" s="1"/>
  <c r="AK55" i="5"/>
  <c r="AL55" i="5" s="1"/>
  <c r="AM55" i="5" s="1"/>
  <c r="AK56" i="5"/>
  <c r="AL56" i="5" s="1"/>
  <c r="AM56" i="5" s="1"/>
  <c r="AK57" i="5"/>
  <c r="AL57" i="5" s="1"/>
  <c r="AM57" i="5" s="1"/>
  <c r="AK58" i="5"/>
  <c r="AL58" i="5" s="1"/>
  <c r="AM58" i="5" s="1"/>
  <c r="AK59" i="5"/>
  <c r="AL59" i="5" s="1"/>
  <c r="AM59" i="5" s="1"/>
  <c r="AK60" i="5"/>
  <c r="AL60" i="5" s="1"/>
  <c r="AM60" i="5" s="1"/>
  <c r="AK61" i="5"/>
  <c r="AL61" i="5" s="1"/>
  <c r="AM61" i="5" s="1"/>
  <c r="AK62" i="5"/>
  <c r="AL62" i="5" s="1"/>
  <c r="AM62" i="5" s="1"/>
  <c r="AK63" i="5"/>
  <c r="AL63" i="5" s="1"/>
  <c r="AM63" i="5" s="1"/>
  <c r="AK64" i="5"/>
  <c r="AL64" i="5" s="1"/>
  <c r="AM64" i="5" s="1"/>
  <c r="AK65" i="5"/>
  <c r="AL65" i="5" s="1"/>
  <c r="AM65" i="5" s="1"/>
  <c r="AK66" i="5"/>
  <c r="AL66" i="5" s="1"/>
  <c r="AM66" i="5" s="1"/>
  <c r="AK67" i="5"/>
  <c r="AL67" i="5" s="1"/>
  <c r="AM67" i="5" s="1"/>
  <c r="AK68" i="5"/>
  <c r="AL68" i="5" s="1"/>
  <c r="AM68" i="5" s="1"/>
  <c r="AK69" i="5"/>
  <c r="AL69" i="5" s="1"/>
  <c r="AM69" i="5" s="1"/>
  <c r="AK70" i="5"/>
  <c r="AL70" i="5" s="1"/>
  <c r="AM70" i="5" s="1"/>
  <c r="H44" i="3"/>
  <c r="G71" i="2"/>
  <c r="J38" i="4"/>
  <c r="E40" i="4"/>
  <c r="E41" i="4"/>
  <c r="E42" i="4"/>
  <c r="E65" i="4" s="1"/>
  <c r="E43" i="4"/>
  <c r="E44" i="4"/>
  <c r="E45" i="4"/>
  <c r="E46" i="4"/>
  <c r="E69" i="4" s="1"/>
  <c r="E47" i="4"/>
  <c r="E70" i="4" s="1"/>
  <c r="E84" i="5"/>
  <c r="E152" i="5" s="1"/>
  <c r="H84" i="5"/>
  <c r="J84" i="5"/>
  <c r="E85" i="5"/>
  <c r="H85" i="5"/>
  <c r="E86" i="5"/>
  <c r="E87" i="5"/>
  <c r="E88" i="5"/>
  <c r="E89" i="5"/>
  <c r="E90" i="5"/>
  <c r="E91" i="5"/>
  <c r="E92" i="5"/>
  <c r="E160" i="5" s="1"/>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96" i="5" s="1"/>
  <c r="E129" i="5"/>
  <c r="E130" i="5"/>
  <c r="E131" i="5"/>
  <c r="E132" i="5"/>
  <c r="E133" i="5"/>
  <c r="E134" i="5"/>
  <c r="E135" i="5"/>
  <c r="E136" i="5"/>
  <c r="E137" i="5"/>
  <c r="E138" i="5"/>
  <c r="E59" i="6"/>
  <c r="E102" i="6" s="1"/>
  <c r="H59" i="6"/>
  <c r="J59" i="6"/>
  <c r="E60" i="6"/>
  <c r="E103" i="6" s="1"/>
  <c r="E61" i="6"/>
  <c r="E62" i="6"/>
  <c r="E63" i="6"/>
  <c r="E64" i="6"/>
  <c r="E65" i="6"/>
  <c r="E66" i="6"/>
  <c r="E67" i="6"/>
  <c r="E68" i="6"/>
  <c r="E69" i="6"/>
  <c r="E112" i="6" s="1"/>
  <c r="E70" i="6"/>
  <c r="E71" i="6"/>
  <c r="E72" i="6"/>
  <c r="E73" i="6"/>
  <c r="E116" i="6" s="1"/>
  <c r="E74" i="6"/>
  <c r="E75" i="6"/>
  <c r="E76" i="6"/>
  <c r="E77" i="6"/>
  <c r="E120" i="6" s="1"/>
  <c r="E78" i="6"/>
  <c r="E79" i="6"/>
  <c r="E80" i="6"/>
  <c r="E81" i="6"/>
  <c r="E124" i="6" s="1"/>
  <c r="E82" i="6"/>
  <c r="E83" i="6"/>
  <c r="E84" i="6"/>
  <c r="E85" i="6"/>
  <c r="E86" i="6"/>
  <c r="E87" i="6"/>
  <c r="E88" i="6"/>
  <c r="AG16" i="5"/>
  <c r="AH16" i="5" s="1"/>
  <c r="AG17" i="5"/>
  <c r="AH17" i="5" s="1"/>
  <c r="AG16" i="6"/>
  <c r="AH16" i="6" s="1"/>
  <c r="F38" i="4"/>
  <c r="AG38" i="4" s="1"/>
  <c r="AH38" i="4" s="1"/>
  <c r="F39" i="4"/>
  <c r="AG39" i="4" s="1"/>
  <c r="AH39" i="4" s="1"/>
  <c r="F40" i="4"/>
  <c r="AG40" i="4" s="1"/>
  <c r="AH40" i="4" s="1"/>
  <c r="F41" i="4"/>
  <c r="AG41" i="4" s="1"/>
  <c r="AH41" i="4" s="1"/>
  <c r="F42" i="4"/>
  <c r="AG42" i="4" s="1"/>
  <c r="AH42" i="4" s="1"/>
  <c r="F43" i="4"/>
  <c r="AG43" i="4" s="1"/>
  <c r="AH43" i="4" s="1"/>
  <c r="F44" i="4"/>
  <c r="AG44" i="4" s="1"/>
  <c r="AH44" i="4" s="1"/>
  <c r="F45" i="4"/>
  <c r="AG45" i="4" s="1"/>
  <c r="AH45" i="4" s="1"/>
  <c r="F46" i="4"/>
  <c r="AG46" i="4" s="1"/>
  <c r="AH46" i="4" s="1"/>
  <c r="F47" i="4"/>
  <c r="AG47" i="4" s="1"/>
  <c r="AH47" i="4" s="1"/>
  <c r="F84" i="5"/>
  <c r="AG84" i="5" s="1"/>
  <c r="AH84" i="5" s="1"/>
  <c r="F85" i="5"/>
  <c r="AG85" i="5" s="1"/>
  <c r="AH85" i="5" s="1"/>
  <c r="F86" i="5"/>
  <c r="AG86" i="5" s="1"/>
  <c r="AH86" i="5" s="1"/>
  <c r="F87" i="5"/>
  <c r="AG87" i="5" s="1"/>
  <c r="AH87" i="5" s="1"/>
  <c r="F88" i="5"/>
  <c r="AG88" i="5" s="1"/>
  <c r="F89" i="5"/>
  <c r="F90" i="5"/>
  <c r="AG90" i="5" s="1"/>
  <c r="AH90" i="5" s="1"/>
  <c r="F91" i="5"/>
  <c r="F92" i="5"/>
  <c r="AG92" i="5" s="1"/>
  <c r="AH92" i="5" s="1"/>
  <c r="F93" i="5"/>
  <c r="F94" i="5"/>
  <c r="AG94" i="5" s="1"/>
  <c r="AH94" i="5" s="1"/>
  <c r="F95" i="5"/>
  <c r="AG95" i="5" s="1"/>
  <c r="AH95" i="5" s="1"/>
  <c r="F96" i="5"/>
  <c r="AG96" i="5" s="1"/>
  <c r="AH96" i="5" s="1"/>
  <c r="F97" i="5"/>
  <c r="F98" i="5"/>
  <c r="AG98" i="5" s="1"/>
  <c r="AH98" i="5" s="1"/>
  <c r="F99" i="5"/>
  <c r="AG99" i="5" s="1"/>
  <c r="AH99" i="5" s="1"/>
  <c r="F100" i="5"/>
  <c r="AG100" i="5" s="1"/>
  <c r="AH100" i="5" s="1"/>
  <c r="F101" i="5"/>
  <c r="F102" i="5"/>
  <c r="AG102" i="5" s="1"/>
  <c r="AH102" i="5" s="1"/>
  <c r="F103" i="5"/>
  <c r="AG103" i="5" s="1"/>
  <c r="AH103" i="5" s="1"/>
  <c r="F104" i="5"/>
  <c r="AG104" i="5" s="1"/>
  <c r="AH104" i="5" s="1"/>
  <c r="F105" i="5"/>
  <c r="AG105" i="5" s="1"/>
  <c r="AH105" i="5" s="1"/>
  <c r="F106" i="5"/>
  <c r="AG106" i="5" s="1"/>
  <c r="AH106" i="5" s="1"/>
  <c r="F107" i="5"/>
  <c r="AG107" i="5" s="1"/>
  <c r="AH107" i="5" s="1"/>
  <c r="F108" i="5"/>
  <c r="AG108" i="5" s="1"/>
  <c r="AH108" i="5" s="1"/>
  <c r="F109" i="5"/>
  <c r="F110" i="5"/>
  <c r="AG110" i="5" s="1"/>
  <c r="AH110" i="5" s="1"/>
  <c r="F111" i="5"/>
  <c r="AG111" i="5" s="1"/>
  <c r="AH111" i="5" s="1"/>
  <c r="F112" i="5"/>
  <c r="AG112" i="5" s="1"/>
  <c r="AH112" i="5" s="1"/>
  <c r="F113" i="5"/>
  <c r="F114" i="5"/>
  <c r="AG114" i="5" s="1"/>
  <c r="AH114" i="5" s="1"/>
  <c r="F115" i="5"/>
  <c r="AG115" i="5" s="1"/>
  <c r="AH115" i="5" s="1"/>
  <c r="F116" i="5"/>
  <c r="AG116" i="5" s="1"/>
  <c r="AH116" i="5" s="1"/>
  <c r="F117" i="5"/>
  <c r="AG117" i="5" s="1"/>
  <c r="AH117" i="5" s="1"/>
  <c r="F118" i="5"/>
  <c r="AG118" i="5" s="1"/>
  <c r="AH118" i="5" s="1"/>
  <c r="F119" i="5"/>
  <c r="AG119" i="5" s="1"/>
  <c r="AH119" i="5" s="1"/>
  <c r="F120" i="5"/>
  <c r="AG120" i="5" s="1"/>
  <c r="AH120" i="5" s="1"/>
  <c r="F121" i="5"/>
  <c r="F122" i="5"/>
  <c r="AG122" i="5" s="1"/>
  <c r="AH122" i="5" s="1"/>
  <c r="F123" i="5"/>
  <c r="AG123" i="5" s="1"/>
  <c r="AH123" i="5" s="1"/>
  <c r="F124" i="5"/>
  <c r="AG124" i="5" s="1"/>
  <c r="AH124" i="5" s="1"/>
  <c r="F125" i="5"/>
  <c r="F126" i="5"/>
  <c r="AG126" i="5" s="1"/>
  <c r="AH126" i="5" s="1"/>
  <c r="F127" i="5"/>
  <c r="AG127" i="5" s="1"/>
  <c r="AH127" i="5" s="1"/>
  <c r="F128" i="5"/>
  <c r="AG128" i="5" s="1"/>
  <c r="AH128" i="5" s="1"/>
  <c r="F129" i="5"/>
  <c r="F130" i="5"/>
  <c r="AG130" i="5" s="1"/>
  <c r="AH130" i="5" s="1"/>
  <c r="F131" i="5"/>
  <c r="AG131" i="5" s="1"/>
  <c r="AH131" i="5" s="1"/>
  <c r="F132" i="5"/>
  <c r="AG132" i="5" s="1"/>
  <c r="AH132" i="5" s="1"/>
  <c r="F133" i="5"/>
  <c r="F134" i="5"/>
  <c r="AG134" i="5" s="1"/>
  <c r="AH134" i="5" s="1"/>
  <c r="F135" i="5"/>
  <c r="AG135" i="5" s="1"/>
  <c r="AH135" i="5" s="1"/>
  <c r="F136" i="5"/>
  <c r="AG136" i="5" s="1"/>
  <c r="AH136" i="5" s="1"/>
  <c r="F137" i="5"/>
  <c r="AG137" i="5" s="1"/>
  <c r="AH137" i="5" s="1"/>
  <c r="F138" i="5"/>
  <c r="AG138" i="5" s="1"/>
  <c r="AH138" i="5" s="1"/>
  <c r="F59" i="6"/>
  <c r="F102" i="6" s="1"/>
  <c r="F60" i="6"/>
  <c r="AG60" i="6" s="1"/>
  <c r="F61" i="6"/>
  <c r="F62" i="6"/>
  <c r="AG62" i="6" s="1"/>
  <c r="F63" i="6"/>
  <c r="AG63" i="6" s="1"/>
  <c r="AH63" i="6" s="1"/>
  <c r="F64" i="6"/>
  <c r="AG64" i="6" s="1"/>
  <c r="F65" i="6"/>
  <c r="AG65" i="6" s="1"/>
  <c r="F66" i="6"/>
  <c r="AG66" i="6" s="1"/>
  <c r="F67" i="6"/>
  <c r="AG67" i="6" s="1"/>
  <c r="AH67" i="6" s="1"/>
  <c r="F68" i="6"/>
  <c r="AG68" i="6" s="1"/>
  <c r="F69" i="6"/>
  <c r="F70" i="6"/>
  <c r="F113" i="6" s="1"/>
  <c r="F71" i="6"/>
  <c r="AG71" i="6" s="1"/>
  <c r="F72" i="6"/>
  <c r="AG72" i="6" s="1"/>
  <c r="AH72" i="6" s="1"/>
  <c r="F73" i="6"/>
  <c r="F74" i="6"/>
  <c r="AG74" i="6" s="1"/>
  <c r="F75" i="6"/>
  <c r="AG75" i="6" s="1"/>
  <c r="AH75" i="6" s="1"/>
  <c r="F76" i="6"/>
  <c r="AG76" i="6" s="1"/>
  <c r="F77" i="6"/>
  <c r="F78" i="6"/>
  <c r="F121" i="6" s="1"/>
  <c r="F79" i="6"/>
  <c r="AG79" i="6" s="1"/>
  <c r="AH79" i="6" s="1"/>
  <c r="F80" i="6"/>
  <c r="AG80" i="6" s="1"/>
  <c r="AH80" i="6" s="1"/>
  <c r="F81" i="6"/>
  <c r="F82" i="6"/>
  <c r="AG82" i="6" s="1"/>
  <c r="AH82" i="6" s="1"/>
  <c r="F83" i="6"/>
  <c r="AG83" i="6" s="1"/>
  <c r="AH83" i="6" s="1"/>
  <c r="F84" i="6"/>
  <c r="AG84" i="6" s="1"/>
  <c r="AH84" i="6" s="1"/>
  <c r="F85" i="6"/>
  <c r="AG85" i="6" s="1"/>
  <c r="AH85" i="6" s="1"/>
  <c r="F86" i="6"/>
  <c r="F129" i="6" s="1"/>
  <c r="F171" i="6" s="1"/>
  <c r="F213" i="6" s="1"/>
  <c r="F87" i="6"/>
  <c r="AG87" i="6" s="1"/>
  <c r="AH87" i="6" s="1"/>
  <c r="F88" i="6"/>
  <c r="AG88" i="6" s="1"/>
  <c r="AH88" i="6" s="1"/>
  <c r="H31" i="2"/>
  <c r="J38" i="3" s="1"/>
  <c r="H30" i="2"/>
  <c r="C5" i="13"/>
  <c r="H59" i="3"/>
  <c r="I44" i="3"/>
  <c r="I74" i="3"/>
  <c r="J74" i="3" s="1"/>
  <c r="K74" i="3" s="1"/>
  <c r="L74" i="3" s="1"/>
  <c r="M74" i="3" s="1"/>
  <c r="N74" i="3" s="1"/>
  <c r="I75" i="3"/>
  <c r="J75" i="3" s="1"/>
  <c r="K75" i="3" s="1"/>
  <c r="L75" i="3" s="1"/>
  <c r="M75" i="3" s="1"/>
  <c r="N75" i="3" s="1"/>
  <c r="C5" i="2"/>
  <c r="C5" i="8" s="1"/>
  <c r="C5" i="3"/>
  <c r="C5" i="4"/>
  <c r="C5" i="5"/>
  <c r="C5" i="6"/>
  <c r="C5" i="7"/>
  <c r="C5" i="11"/>
  <c r="C5" i="14"/>
  <c r="C5" i="15"/>
  <c r="C5" i="16"/>
  <c r="H172" i="7"/>
  <c r="F26" i="11" s="1"/>
  <c r="H119" i="7"/>
  <c r="H130" i="7" s="1"/>
  <c r="F25" i="11" s="1"/>
  <c r="I114" i="3"/>
  <c r="J114" i="3" s="1"/>
  <c r="K114" i="3" s="1"/>
  <c r="AG16" i="4"/>
  <c r="AH16" i="4" s="1"/>
  <c r="AG18" i="5"/>
  <c r="AH18" i="5" s="1"/>
  <c r="AG19" i="5"/>
  <c r="AG20" i="5"/>
  <c r="AH20" i="5" s="1"/>
  <c r="AG21" i="5"/>
  <c r="AH21" i="5" s="1"/>
  <c r="AG22" i="5"/>
  <c r="AH22" i="5" s="1"/>
  <c r="AG23" i="5"/>
  <c r="AH23" i="5" s="1"/>
  <c r="AG24" i="5"/>
  <c r="AH24" i="5" s="1"/>
  <c r="AG25" i="5"/>
  <c r="AH25" i="5" s="1"/>
  <c r="AG26" i="5"/>
  <c r="AH26" i="5" s="1"/>
  <c r="AG27" i="5"/>
  <c r="AH27" i="5" s="1"/>
  <c r="AG28" i="5"/>
  <c r="AH28" i="5" s="1"/>
  <c r="AG29" i="5"/>
  <c r="AH29" i="5" s="1"/>
  <c r="AG30" i="5"/>
  <c r="AH30" i="5" s="1"/>
  <c r="AG31" i="5"/>
  <c r="AH31" i="5" s="1"/>
  <c r="AG32" i="5"/>
  <c r="AH32" i="5" s="1"/>
  <c r="AG33" i="5"/>
  <c r="AH33" i="5" s="1"/>
  <c r="AG34" i="5"/>
  <c r="AH34" i="5" s="1"/>
  <c r="AG35" i="5"/>
  <c r="AH35" i="5" s="1"/>
  <c r="AG36" i="5"/>
  <c r="AH36" i="5" s="1"/>
  <c r="AG37" i="5"/>
  <c r="AH37" i="5" s="1"/>
  <c r="AG38" i="5"/>
  <c r="AH38" i="5" s="1"/>
  <c r="AG39" i="5"/>
  <c r="AH39" i="5" s="1"/>
  <c r="AG40" i="5"/>
  <c r="AH40" i="5" s="1"/>
  <c r="AG41" i="5"/>
  <c r="AH41" i="5" s="1"/>
  <c r="AG42" i="5"/>
  <c r="AH42" i="5" s="1"/>
  <c r="AG43" i="5"/>
  <c r="AH43" i="5" s="1"/>
  <c r="AG44" i="5"/>
  <c r="AH44" i="5" s="1"/>
  <c r="AG45" i="5"/>
  <c r="AH45" i="5" s="1"/>
  <c r="AG46" i="5"/>
  <c r="AH46" i="5" s="1"/>
  <c r="AG47" i="5"/>
  <c r="AH47" i="5" s="1"/>
  <c r="AG48" i="5"/>
  <c r="AH48" i="5" s="1"/>
  <c r="AG49" i="5"/>
  <c r="AH49" i="5" s="1"/>
  <c r="AG50" i="5"/>
  <c r="AH50" i="5" s="1"/>
  <c r="AG51" i="5"/>
  <c r="AH51" i="5" s="1"/>
  <c r="AG52" i="5"/>
  <c r="AH52" i="5" s="1"/>
  <c r="AG53" i="5"/>
  <c r="AH53" i="5" s="1"/>
  <c r="AG54" i="5"/>
  <c r="AH54" i="5" s="1"/>
  <c r="AG55" i="5"/>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17" i="6"/>
  <c r="AH17" i="6" s="1"/>
  <c r="AG18" i="6"/>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AG36" i="6"/>
  <c r="AH36" i="6" s="1"/>
  <c r="AG37" i="6"/>
  <c r="AH37" i="6" s="1"/>
  <c r="AG38" i="6"/>
  <c r="AH38" i="6" s="1"/>
  <c r="AG39" i="6"/>
  <c r="AH39" i="6" s="1"/>
  <c r="AG40" i="6"/>
  <c r="AH40" i="6" s="1"/>
  <c r="AG41" i="6"/>
  <c r="AH41" i="6" s="1"/>
  <c r="AG42" i="6"/>
  <c r="AH42" i="6" s="1"/>
  <c r="AG43" i="6"/>
  <c r="AH43" i="6" s="1"/>
  <c r="AG44" i="6"/>
  <c r="AH44" i="6" s="1"/>
  <c r="AG45" i="6"/>
  <c r="AH45" i="6" s="1"/>
  <c r="G84" i="5"/>
  <c r="G152" i="5" s="1"/>
  <c r="G219" i="5" s="1"/>
  <c r="AI219" i="5" s="1"/>
  <c r="G86" i="5"/>
  <c r="G154" i="5" s="1"/>
  <c r="J86" i="5"/>
  <c r="G87" i="5"/>
  <c r="AI87" i="5" s="1"/>
  <c r="J87" i="5"/>
  <c r="G88" i="5"/>
  <c r="AI88" i="5" s="1"/>
  <c r="J88" i="5"/>
  <c r="G89" i="5"/>
  <c r="J89" i="5"/>
  <c r="G90" i="5"/>
  <c r="AK90" i="5" s="1"/>
  <c r="AL90" i="5" s="1"/>
  <c r="J90" i="5"/>
  <c r="G91" i="5"/>
  <c r="J91" i="5"/>
  <c r="G92" i="5"/>
  <c r="J92" i="5"/>
  <c r="G93" i="5"/>
  <c r="G161" i="5" s="1"/>
  <c r="AI161" i="5" s="1"/>
  <c r="J93" i="5"/>
  <c r="G94" i="5"/>
  <c r="AI94" i="5" s="1"/>
  <c r="J94" i="5"/>
  <c r="G95" i="5"/>
  <c r="AK95" i="5" s="1"/>
  <c r="AL95" i="5" s="1"/>
  <c r="J95" i="5"/>
  <c r="G96" i="5"/>
  <c r="AK96" i="5" s="1"/>
  <c r="AL96" i="5" s="1"/>
  <c r="J96" i="5"/>
  <c r="G97" i="5"/>
  <c r="AK97" i="5" s="1"/>
  <c r="AL97" i="5" s="1"/>
  <c r="J97" i="5"/>
  <c r="G98" i="5"/>
  <c r="J98" i="5"/>
  <c r="G99" i="5"/>
  <c r="J99" i="5"/>
  <c r="G100" i="5"/>
  <c r="J100" i="5"/>
  <c r="G101" i="5"/>
  <c r="J101" i="5"/>
  <c r="G102" i="5"/>
  <c r="AI102" i="5" s="1"/>
  <c r="J102" i="5"/>
  <c r="G103" i="5"/>
  <c r="G171" i="5" s="1"/>
  <c r="J103" i="5"/>
  <c r="G104" i="5"/>
  <c r="J104" i="5"/>
  <c r="G105" i="5"/>
  <c r="J105" i="5"/>
  <c r="G106" i="5"/>
  <c r="AI106" i="5" s="1"/>
  <c r="J106" i="5"/>
  <c r="G107" i="5"/>
  <c r="AK107" i="5" s="1"/>
  <c r="AL107" i="5" s="1"/>
  <c r="J107" i="5"/>
  <c r="G108" i="5"/>
  <c r="J108" i="5"/>
  <c r="G109" i="5"/>
  <c r="AI109" i="5" s="1"/>
  <c r="J109" i="5"/>
  <c r="G110" i="5"/>
  <c r="AI110" i="5" s="1"/>
  <c r="J110" i="5"/>
  <c r="G111" i="5"/>
  <c r="J111" i="5"/>
  <c r="G112" i="5"/>
  <c r="G180" i="5" s="1"/>
  <c r="J112" i="5"/>
  <c r="G113" i="5"/>
  <c r="AK113" i="5" s="1"/>
  <c r="AL113" i="5" s="1"/>
  <c r="J113" i="5"/>
  <c r="G114" i="5"/>
  <c r="AI114" i="5" s="1"/>
  <c r="J114" i="5"/>
  <c r="G115" i="5"/>
  <c r="J115" i="5"/>
  <c r="G116" i="5"/>
  <c r="AK116" i="5" s="1"/>
  <c r="AL116" i="5" s="1"/>
  <c r="J116" i="5"/>
  <c r="G117" i="5"/>
  <c r="J117" i="5"/>
  <c r="G118" i="5"/>
  <c r="AI118" i="5" s="1"/>
  <c r="J118" i="5"/>
  <c r="G119" i="5"/>
  <c r="AI119" i="5" s="1"/>
  <c r="J119" i="5"/>
  <c r="G120" i="5"/>
  <c r="AI120" i="5" s="1"/>
  <c r="J120" i="5"/>
  <c r="G121" i="5"/>
  <c r="J121" i="5"/>
  <c r="G122" i="5"/>
  <c r="AI122" i="5" s="1"/>
  <c r="J122" i="5"/>
  <c r="G123" i="5"/>
  <c r="J123" i="5"/>
  <c r="G124" i="5"/>
  <c r="AK124" i="5" s="1"/>
  <c r="AL124" i="5" s="1"/>
  <c r="J124" i="5"/>
  <c r="G125" i="5"/>
  <c r="AI125" i="5" s="1"/>
  <c r="J125" i="5"/>
  <c r="G126" i="5"/>
  <c r="AI126" i="5" s="1"/>
  <c r="J126" i="5"/>
  <c r="G127" i="5"/>
  <c r="J127" i="5"/>
  <c r="G128" i="5"/>
  <c r="J128" i="5"/>
  <c r="G129" i="5"/>
  <c r="J129" i="5"/>
  <c r="G130" i="5"/>
  <c r="AI130" i="5" s="1"/>
  <c r="J130" i="5"/>
  <c r="G131" i="5"/>
  <c r="J131" i="5"/>
  <c r="G132" i="5"/>
  <c r="J132" i="5"/>
  <c r="G133" i="5"/>
  <c r="J133" i="5"/>
  <c r="G134" i="5"/>
  <c r="AI134" i="5" s="1"/>
  <c r="J134" i="5"/>
  <c r="G135" i="5"/>
  <c r="AI135" i="5" s="1"/>
  <c r="J135" i="5"/>
  <c r="G136" i="5"/>
  <c r="J136" i="5"/>
  <c r="G137" i="5"/>
  <c r="AK137" i="5" s="1"/>
  <c r="AL137" i="5" s="1"/>
  <c r="J137" i="5"/>
  <c r="G138" i="5"/>
  <c r="AI138" i="5" s="1"/>
  <c r="J138" i="5"/>
  <c r="G44" i="2"/>
  <c r="G61" i="2"/>
  <c r="G43" i="2"/>
  <c r="F61" i="2"/>
  <c r="H16" i="7" s="1"/>
  <c r="G56" i="2"/>
  <c r="H56" i="2" s="1"/>
  <c r="I56" i="2" s="1"/>
  <c r="J56" i="2" s="1"/>
  <c r="K56" i="2" s="1"/>
  <c r="L56" i="2" s="1"/>
  <c r="H152" i="5"/>
  <c r="I34" i="3"/>
  <c r="I59" i="3"/>
  <c r="J59" i="3"/>
  <c r="K59" i="3"/>
  <c r="I70" i="3"/>
  <c r="J70" i="3" s="1"/>
  <c r="I72" i="3"/>
  <c r="I73" i="3"/>
  <c r="J73" i="3" s="1"/>
  <c r="K73" i="3" s="1"/>
  <c r="L73" i="3" s="1"/>
  <c r="M73" i="3" s="1"/>
  <c r="N73" i="3" s="1"/>
  <c r="I88" i="3"/>
  <c r="H194" i="7"/>
  <c r="F65" i="11" s="1"/>
  <c r="I89" i="3"/>
  <c r="J89" i="3" s="1"/>
  <c r="I90" i="3"/>
  <c r="J90" i="3" s="1"/>
  <c r="K91" i="3"/>
  <c r="L91" i="3" s="1"/>
  <c r="M91" i="3" s="1"/>
  <c r="N91" i="3" s="1"/>
  <c r="E164" i="5"/>
  <c r="I117" i="3"/>
  <c r="J117" i="3" s="1"/>
  <c r="K117" i="3" s="1"/>
  <c r="L117" i="3" s="1"/>
  <c r="M117" i="3" s="1"/>
  <c r="N117" i="3" s="1"/>
  <c r="I118" i="3"/>
  <c r="J118" i="3" s="1"/>
  <c r="K118" i="3" s="1"/>
  <c r="L118" i="3" s="1"/>
  <c r="M118" i="3" s="1"/>
  <c r="N118" i="3" s="1"/>
  <c r="I119" i="3"/>
  <c r="J119" i="3" s="1"/>
  <c r="K119" i="3" s="1"/>
  <c r="L119" i="3" s="1"/>
  <c r="M119" i="3" s="1"/>
  <c r="N119" i="3" s="1"/>
  <c r="I120" i="3"/>
  <c r="J120" i="3" s="1"/>
  <c r="K120" i="3" s="1"/>
  <c r="L120" i="3" s="1"/>
  <c r="M120" i="3" s="1"/>
  <c r="N120" i="3" s="1"/>
  <c r="I121" i="3"/>
  <c r="J121" i="3" s="1"/>
  <c r="K121" i="3" s="1"/>
  <c r="L121" i="3" s="1"/>
  <c r="M121" i="3" s="1"/>
  <c r="N121" i="3" s="1"/>
  <c r="I122" i="3"/>
  <c r="J122" i="3" s="1"/>
  <c r="K122" i="3" s="1"/>
  <c r="L122" i="3" s="1"/>
  <c r="M122" i="3" s="1"/>
  <c r="N122" i="3" s="1"/>
  <c r="I123" i="3"/>
  <c r="J123" i="3" s="1"/>
  <c r="K123" i="3" s="1"/>
  <c r="L123" i="3" s="1"/>
  <c r="M123" i="3" s="1"/>
  <c r="N123" i="3" s="1"/>
  <c r="I124" i="3"/>
  <c r="J124" i="3" s="1"/>
  <c r="K124" i="3" s="1"/>
  <c r="L124" i="3" s="1"/>
  <c r="M124" i="3" s="1"/>
  <c r="N124" i="3" s="1"/>
  <c r="I125" i="3"/>
  <c r="J125" i="3" s="1"/>
  <c r="K125" i="3" s="1"/>
  <c r="L125" i="3" s="1"/>
  <c r="M125" i="3" s="1"/>
  <c r="N125" i="3" s="1"/>
  <c r="I126" i="3"/>
  <c r="J126" i="3" s="1"/>
  <c r="K126" i="3" s="1"/>
  <c r="L126" i="3" s="1"/>
  <c r="M126" i="3" s="1"/>
  <c r="N126" i="3" s="1"/>
  <c r="I127" i="3"/>
  <c r="J127" i="3" s="1"/>
  <c r="K127" i="3" s="1"/>
  <c r="L127" i="3" s="1"/>
  <c r="M127" i="3" s="1"/>
  <c r="N127" i="3" s="1"/>
  <c r="I128" i="3"/>
  <c r="J128" i="3" s="1"/>
  <c r="K128" i="3" s="1"/>
  <c r="L128" i="3" s="1"/>
  <c r="M128" i="3" s="1"/>
  <c r="N128" i="3" s="1"/>
  <c r="I129" i="3"/>
  <c r="J129" i="3" s="1"/>
  <c r="K129" i="3" s="1"/>
  <c r="L129" i="3" s="1"/>
  <c r="M129" i="3" s="1"/>
  <c r="N129" i="3" s="1"/>
  <c r="I130" i="3"/>
  <c r="J130" i="3" s="1"/>
  <c r="K130" i="3" s="1"/>
  <c r="L130" i="3" s="1"/>
  <c r="M130" i="3" s="1"/>
  <c r="N130" i="3" s="1"/>
  <c r="I131" i="3"/>
  <c r="J131" i="3" s="1"/>
  <c r="K131" i="3" s="1"/>
  <c r="L131" i="3" s="1"/>
  <c r="M131" i="3" s="1"/>
  <c r="N131" i="3" s="1"/>
  <c r="I132" i="3"/>
  <c r="J132" i="3" s="1"/>
  <c r="K132" i="3" s="1"/>
  <c r="L132" i="3" s="1"/>
  <c r="M132" i="3" s="1"/>
  <c r="N132" i="3" s="1"/>
  <c r="I133" i="3"/>
  <c r="J133" i="3" s="1"/>
  <c r="K133" i="3" s="1"/>
  <c r="L133" i="3" s="1"/>
  <c r="M133" i="3" s="1"/>
  <c r="N133" i="3" s="1"/>
  <c r="I134" i="3"/>
  <c r="J134" i="3" s="1"/>
  <c r="K134" i="3" s="1"/>
  <c r="L134" i="3" s="1"/>
  <c r="M134" i="3" s="1"/>
  <c r="N134" i="3" s="1"/>
  <c r="H53" i="7"/>
  <c r="H77" i="3"/>
  <c r="H70" i="7"/>
  <c r="F72" i="2"/>
  <c r="F63" i="2"/>
  <c r="F68" i="2" s="1"/>
  <c r="J64" i="4"/>
  <c r="J65" i="4"/>
  <c r="J66" i="4"/>
  <c r="J68" i="4"/>
  <c r="J69" i="4"/>
  <c r="J70" i="4"/>
  <c r="J60" i="6"/>
  <c r="I60" i="6" s="1"/>
  <c r="J61" i="6"/>
  <c r="J62" i="6"/>
  <c r="J63" i="6"/>
  <c r="J64" i="6"/>
  <c r="J107" i="6" s="1"/>
  <c r="J65" i="6"/>
  <c r="J66" i="6"/>
  <c r="J67" i="6"/>
  <c r="J68" i="6"/>
  <c r="J69" i="6"/>
  <c r="J70" i="6"/>
  <c r="J71" i="6"/>
  <c r="J72" i="6"/>
  <c r="J73" i="6"/>
  <c r="J74" i="6"/>
  <c r="J75" i="6"/>
  <c r="J76" i="6"/>
  <c r="J77" i="6"/>
  <c r="J78" i="6"/>
  <c r="J79" i="6"/>
  <c r="J80" i="6"/>
  <c r="J81" i="6"/>
  <c r="J82" i="6"/>
  <c r="J83" i="6"/>
  <c r="J84" i="6"/>
  <c r="J85" i="6"/>
  <c r="J86" i="6"/>
  <c r="J87" i="6"/>
  <c r="J88" i="6"/>
  <c r="F65" i="14"/>
  <c r="F64" i="14"/>
  <c r="G38" i="11"/>
  <c r="G39" i="13"/>
  <c r="H60" i="6"/>
  <c r="H61" i="6"/>
  <c r="AF61" i="6" s="1"/>
  <c r="H62" i="6"/>
  <c r="AF62" i="6" s="1"/>
  <c r="H63" i="6"/>
  <c r="AF63" i="6" s="1"/>
  <c r="H64" i="6"/>
  <c r="AF64" i="6" s="1"/>
  <c r="H65" i="6"/>
  <c r="AF65" i="6" s="1"/>
  <c r="H66" i="6"/>
  <c r="AF66" i="6" s="1"/>
  <c r="H67" i="6"/>
  <c r="AF67" i="6" s="1"/>
  <c r="H68" i="6"/>
  <c r="AF68" i="6" s="1"/>
  <c r="H69" i="6"/>
  <c r="AF69" i="6" s="1"/>
  <c r="H70" i="6"/>
  <c r="AF70" i="6" s="1"/>
  <c r="H71" i="6"/>
  <c r="AF71" i="6" s="1"/>
  <c r="H72" i="6"/>
  <c r="AF72" i="6" s="1"/>
  <c r="H73" i="6"/>
  <c r="AF73" i="6" s="1"/>
  <c r="H74" i="6"/>
  <c r="AF74" i="6" s="1"/>
  <c r="H75" i="6"/>
  <c r="AF75" i="6" s="1"/>
  <c r="H76" i="6"/>
  <c r="AF76" i="6" s="1"/>
  <c r="H77" i="6"/>
  <c r="AF77" i="6" s="1"/>
  <c r="H78" i="6"/>
  <c r="AF78" i="6" s="1"/>
  <c r="H79" i="6"/>
  <c r="AF79" i="6" s="1"/>
  <c r="H80" i="6"/>
  <c r="AF80" i="6" s="1"/>
  <c r="H81" i="6"/>
  <c r="AF81" i="6" s="1"/>
  <c r="H82" i="6"/>
  <c r="AF82" i="6" s="1"/>
  <c r="H83" i="6"/>
  <c r="AF83" i="6" s="1"/>
  <c r="H84" i="6"/>
  <c r="AF84" i="6" s="1"/>
  <c r="H85" i="6"/>
  <c r="AF85" i="6" s="1"/>
  <c r="H86" i="6"/>
  <c r="AF86" i="6" s="1"/>
  <c r="H87" i="6"/>
  <c r="AF87" i="6" s="1"/>
  <c r="H88" i="6"/>
  <c r="AF88" i="6" s="1"/>
  <c r="H138" i="5"/>
  <c r="H137" i="5"/>
  <c r="H136" i="5"/>
  <c r="H204" i="5" s="1"/>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168" i="5" s="1"/>
  <c r="H99" i="5"/>
  <c r="H98" i="5"/>
  <c r="H97" i="5"/>
  <c r="H96" i="5"/>
  <c r="H95" i="5"/>
  <c r="H94" i="5"/>
  <c r="H93" i="5"/>
  <c r="H92" i="5"/>
  <c r="H91" i="5"/>
  <c r="H90" i="5"/>
  <c r="H89" i="5"/>
  <c r="H88" i="5"/>
  <c r="H156" i="5" s="1"/>
  <c r="H87" i="5"/>
  <c r="H86" i="5"/>
  <c r="H40" i="4"/>
  <c r="H41" i="4"/>
  <c r="H42" i="4"/>
  <c r="H43" i="4"/>
  <c r="H44" i="4"/>
  <c r="H45" i="4"/>
  <c r="H46" i="4"/>
  <c r="H47" i="4"/>
  <c r="H38" i="11"/>
  <c r="I38" i="11"/>
  <c r="J38" i="11"/>
  <c r="G47" i="4"/>
  <c r="G70" i="4" s="1"/>
  <c r="D47" i="4"/>
  <c r="D70" i="4" s="1"/>
  <c r="G46" i="4"/>
  <c r="G69" i="4" s="1"/>
  <c r="D46" i="4"/>
  <c r="D69" i="4" s="1"/>
  <c r="G45" i="4"/>
  <c r="G68" i="4" s="1"/>
  <c r="D45" i="4"/>
  <c r="D68" i="4" s="1"/>
  <c r="G44" i="4"/>
  <c r="G67" i="4" s="1"/>
  <c r="D44" i="4"/>
  <c r="D67" i="4" s="1"/>
  <c r="G43" i="4"/>
  <c r="G66" i="4" s="1"/>
  <c r="D43" i="4"/>
  <c r="D66" i="4" s="1"/>
  <c r="G42" i="4"/>
  <c r="G65" i="4" s="1"/>
  <c r="D42" i="4"/>
  <c r="D65" i="4" s="1"/>
  <c r="G41" i="4"/>
  <c r="G64" i="4" s="1"/>
  <c r="D41" i="4"/>
  <c r="D64" i="4" s="1"/>
  <c r="G40" i="4"/>
  <c r="G63" i="4" s="1"/>
  <c r="D40" i="4"/>
  <c r="D63" i="4" s="1"/>
  <c r="G39" i="4"/>
  <c r="G62" i="4" s="1"/>
  <c r="D39" i="4"/>
  <c r="D62" i="4" s="1"/>
  <c r="G38" i="4"/>
  <c r="G61" i="4" s="1"/>
  <c r="D38" i="4"/>
  <c r="D61" i="4" s="1"/>
  <c r="E179" i="6"/>
  <c r="J26" i="4"/>
  <c r="E136" i="6"/>
  <c r="E94" i="6"/>
  <c r="E8" i="5"/>
  <c r="E8" i="6" s="1"/>
  <c r="N26" i="4"/>
  <c r="D62" i="2"/>
  <c r="D72" i="2" s="1"/>
  <c r="D63" i="2"/>
  <c r="D73" i="2" s="1"/>
  <c r="D71" i="2"/>
  <c r="D76" i="2" s="1"/>
  <c r="H39" i="13"/>
  <c r="L91" i="9"/>
  <c r="O91" i="9" s="1"/>
  <c r="N91" i="9"/>
  <c r="M91" i="9"/>
  <c r="L90" i="9"/>
  <c r="O90" i="9" s="1"/>
  <c r="N90" i="9"/>
  <c r="M90" i="9"/>
  <c r="L89" i="9"/>
  <c r="O89" i="9" s="1"/>
  <c r="N89" i="9"/>
  <c r="M89" i="9"/>
  <c r="L84" i="9"/>
  <c r="O84" i="9" s="1"/>
  <c r="M84" i="9"/>
  <c r="N84" i="9"/>
  <c r="L85" i="9"/>
  <c r="O85" i="9" s="1"/>
  <c r="M85" i="9"/>
  <c r="N85" i="9"/>
  <c r="L80" i="9"/>
  <c r="O80" i="9" s="1"/>
  <c r="M80" i="9"/>
  <c r="N80" i="9"/>
  <c r="L81" i="9"/>
  <c r="O81" i="9" s="1"/>
  <c r="M81" i="9"/>
  <c r="N81" i="9"/>
  <c r="L82" i="9"/>
  <c r="O82" i="9" s="1"/>
  <c r="M82" i="9"/>
  <c r="N82" i="9"/>
  <c r="L86" i="9"/>
  <c r="O86" i="9" s="1"/>
  <c r="M86" i="9"/>
  <c r="N86" i="9"/>
  <c r="L87" i="9"/>
  <c r="O87" i="9" s="1"/>
  <c r="M87" i="9"/>
  <c r="N87" i="9"/>
  <c r="L88" i="9"/>
  <c r="O88" i="9" s="1"/>
  <c r="M88" i="9"/>
  <c r="N88" i="9"/>
  <c r="L97" i="9"/>
  <c r="O97" i="9" s="1"/>
  <c r="N97" i="9"/>
  <c r="M97" i="9"/>
  <c r="L96" i="9"/>
  <c r="O96" i="9" s="1"/>
  <c r="N96" i="9"/>
  <c r="M96" i="9"/>
  <c r="L95" i="9"/>
  <c r="O95" i="9" s="1"/>
  <c r="N95" i="9"/>
  <c r="M95" i="9"/>
  <c r="L94" i="9"/>
  <c r="O94" i="9" s="1"/>
  <c r="N94" i="9"/>
  <c r="M94" i="9"/>
  <c r="L93" i="9"/>
  <c r="O93" i="9" s="1"/>
  <c r="N93" i="9"/>
  <c r="M93" i="9"/>
  <c r="L92" i="9"/>
  <c r="O92" i="9" s="1"/>
  <c r="N92" i="9"/>
  <c r="M92" i="9"/>
  <c r="L83" i="9"/>
  <c r="O83" i="9" s="1"/>
  <c r="N83" i="9"/>
  <c r="M83" i="9"/>
  <c r="L79" i="9"/>
  <c r="O79" i="9" s="1"/>
  <c r="N79" i="9"/>
  <c r="M79" i="9"/>
  <c r="L78" i="9"/>
  <c r="O78" i="9" s="1"/>
  <c r="N78" i="9"/>
  <c r="M78" i="9"/>
  <c r="L77" i="9"/>
  <c r="O77" i="9" s="1"/>
  <c r="N77" i="9"/>
  <c r="M77" i="9"/>
  <c r="L76" i="9"/>
  <c r="O76" i="9" s="1"/>
  <c r="N76" i="9"/>
  <c r="M76" i="9"/>
  <c r="L75" i="9"/>
  <c r="O75" i="9" s="1"/>
  <c r="N75" i="9"/>
  <c r="M75" i="9"/>
  <c r="L74" i="9"/>
  <c r="O74" i="9" s="1"/>
  <c r="N74" i="9"/>
  <c r="M74" i="9"/>
  <c r="L73" i="9"/>
  <c r="O73" i="9" s="1"/>
  <c r="N73" i="9"/>
  <c r="M73" i="9"/>
  <c r="L72" i="9"/>
  <c r="O72" i="9" s="1"/>
  <c r="N72" i="9"/>
  <c r="M72" i="9"/>
  <c r="L71" i="9"/>
  <c r="O71" i="9" s="1"/>
  <c r="N71" i="9"/>
  <c r="M71" i="9"/>
  <c r="L70" i="9"/>
  <c r="O70" i="9" s="1"/>
  <c r="N70" i="9"/>
  <c r="M70" i="9"/>
  <c r="L69" i="9"/>
  <c r="O69" i="9" s="1"/>
  <c r="N69" i="9"/>
  <c r="M69" i="9"/>
  <c r="L68" i="9"/>
  <c r="O68" i="9" s="1"/>
  <c r="N68" i="9"/>
  <c r="M68" i="9"/>
  <c r="L67" i="9"/>
  <c r="O67" i="9" s="1"/>
  <c r="N67" i="9"/>
  <c r="M67" i="9"/>
  <c r="L146" i="9"/>
  <c r="O146" i="9" s="1"/>
  <c r="N146" i="9"/>
  <c r="M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L16" i="9"/>
  <c r="O16" i="9" s="1"/>
  <c r="L15" i="9"/>
  <c r="O15" i="9" s="1"/>
  <c r="L14" i="9"/>
  <c r="O14" i="9" s="1"/>
  <c r="L17" i="9"/>
  <c r="O17" i="9" s="1"/>
  <c r="L18" i="9"/>
  <c r="O18" i="9" s="1"/>
  <c r="L19" i="9"/>
  <c r="O19" i="9" s="1"/>
  <c r="L20" i="9"/>
  <c r="O20" i="9" s="1"/>
  <c r="L21" i="9"/>
  <c r="O21" i="9" s="1"/>
  <c r="L22" i="9"/>
  <c r="O22" i="9" s="1"/>
  <c r="L23" i="9"/>
  <c r="O23" i="9" s="1"/>
  <c r="L24" i="9"/>
  <c r="O24" i="9" s="1"/>
  <c r="L25" i="9"/>
  <c r="O25" i="9" s="1"/>
  <c r="L26" i="9"/>
  <c r="O26" i="9" s="1"/>
  <c r="L27" i="9"/>
  <c r="O27" i="9" s="1"/>
  <c r="L28" i="9"/>
  <c r="O28" i="9" s="1"/>
  <c r="L29" i="9"/>
  <c r="O29" i="9" s="1"/>
  <c r="L30" i="9"/>
  <c r="O30" i="9" s="1"/>
  <c r="L31" i="9"/>
  <c r="O31" i="9" s="1"/>
  <c r="L32" i="9"/>
  <c r="O32" i="9" s="1"/>
  <c r="L33" i="9"/>
  <c r="O33" i="9" s="1"/>
  <c r="L34" i="9"/>
  <c r="O34" i="9" s="1"/>
  <c r="L35" i="9"/>
  <c r="O35" i="9" s="1"/>
  <c r="L36" i="9"/>
  <c r="O36" i="9" s="1"/>
  <c r="L37" i="9"/>
  <c r="O37" i="9" s="1"/>
  <c r="L38" i="9"/>
  <c r="O38" i="9" s="1"/>
  <c r="L39" i="9"/>
  <c r="O39" i="9" s="1"/>
  <c r="L40" i="9"/>
  <c r="O40" i="9" s="1"/>
  <c r="L41" i="9"/>
  <c r="O41" i="9" s="1"/>
  <c r="L42" i="9"/>
  <c r="O42" i="9" s="1"/>
  <c r="L43" i="9"/>
  <c r="O43" i="9" s="1"/>
  <c r="L44" i="9"/>
  <c r="O44" i="9" s="1"/>
  <c r="L45" i="9"/>
  <c r="O45" i="9" s="1"/>
  <c r="L46" i="9"/>
  <c r="O46" i="9" s="1"/>
  <c r="L47" i="9"/>
  <c r="O47" i="9" s="1"/>
  <c r="L48" i="9"/>
  <c r="O48" i="9" s="1"/>
  <c r="L49" i="9"/>
  <c r="O49" i="9" s="1"/>
  <c r="L50" i="9"/>
  <c r="O50" i="9" s="1"/>
  <c r="L51" i="9"/>
  <c r="O51" i="9" s="1"/>
  <c r="L52" i="9"/>
  <c r="O52" i="9" s="1"/>
  <c r="L53" i="9"/>
  <c r="O53" i="9" s="1"/>
  <c r="L54" i="9"/>
  <c r="O54" i="9" s="1"/>
  <c r="L55" i="9"/>
  <c r="O55" i="9" s="1"/>
  <c r="L56" i="9"/>
  <c r="O56" i="9" s="1"/>
  <c r="L57" i="9"/>
  <c r="O57" i="9" s="1"/>
  <c r="L58" i="9"/>
  <c r="O58" i="9" s="1"/>
  <c r="L59" i="9"/>
  <c r="O59" i="9" s="1"/>
  <c r="L60" i="9"/>
  <c r="O60" i="9" s="1"/>
  <c r="L61" i="9"/>
  <c r="O61" i="9" s="1"/>
  <c r="L62" i="9"/>
  <c r="O62" i="9" s="1"/>
  <c r="L63" i="9"/>
  <c r="O63" i="9" s="1"/>
  <c r="L64" i="9"/>
  <c r="O64" i="9" s="1"/>
  <c r="L65" i="9"/>
  <c r="O65" i="9" s="1"/>
  <c r="L66" i="9"/>
  <c r="O66" i="9" s="1"/>
  <c r="L98" i="9"/>
  <c r="O98" i="9" s="1"/>
  <c r="L99" i="9"/>
  <c r="O99" i="9" s="1"/>
  <c r="L100" i="9"/>
  <c r="O100" i="9" s="1"/>
  <c r="L101" i="9"/>
  <c r="O101" i="9" s="1"/>
  <c r="L102" i="9"/>
  <c r="O102" i="9" s="1"/>
  <c r="L103" i="9"/>
  <c r="O103" i="9" s="1"/>
  <c r="L104" i="9"/>
  <c r="O104" i="9" s="1"/>
  <c r="L105" i="9"/>
  <c r="O105" i="9" s="1"/>
  <c r="L106" i="9"/>
  <c r="O106" i="9" s="1"/>
  <c r="L107" i="9"/>
  <c r="O107" i="9" s="1"/>
  <c r="L108" i="9"/>
  <c r="O108" i="9" s="1"/>
  <c r="L109" i="9"/>
  <c r="O109" i="9" s="1"/>
  <c r="L110" i="9"/>
  <c r="O110" i="9" s="1"/>
  <c r="L111" i="9"/>
  <c r="O111" i="9" s="1"/>
  <c r="L112" i="9"/>
  <c r="O112" i="9" s="1"/>
  <c r="L113" i="9"/>
  <c r="O113" i="9" s="1"/>
  <c r="L114" i="9"/>
  <c r="O114" i="9" s="1"/>
  <c r="L115" i="9"/>
  <c r="O115" i="9" s="1"/>
  <c r="L116" i="9"/>
  <c r="O116" i="9" s="1"/>
  <c r="L117" i="9"/>
  <c r="O117" i="9" s="1"/>
  <c r="L118" i="9"/>
  <c r="O118" i="9" s="1"/>
  <c r="L119" i="9"/>
  <c r="O119" i="9" s="1"/>
  <c r="L120" i="9"/>
  <c r="O120" i="9" s="1"/>
  <c r="L121" i="9"/>
  <c r="O121" i="9" s="1"/>
  <c r="L122" i="9"/>
  <c r="O122" i="9" s="1"/>
  <c r="L123" i="9"/>
  <c r="O123" i="9" s="1"/>
  <c r="L124" i="9"/>
  <c r="O124" i="9" s="1"/>
  <c r="L125" i="9"/>
  <c r="O125" i="9" s="1"/>
  <c r="L126" i="9"/>
  <c r="O126" i="9" s="1"/>
  <c r="L127" i="9"/>
  <c r="O127" i="9" s="1"/>
  <c r="L128" i="9"/>
  <c r="O128" i="9" s="1"/>
  <c r="L129" i="9"/>
  <c r="O129" i="9" s="1"/>
  <c r="L130" i="9"/>
  <c r="O130" i="9" s="1"/>
  <c r="L131" i="9"/>
  <c r="O131" i="9" s="1"/>
  <c r="L132" i="9"/>
  <c r="O132" i="9" s="1"/>
  <c r="L133" i="9"/>
  <c r="O133" i="9" s="1"/>
  <c r="L134" i="9"/>
  <c r="O134" i="9" s="1"/>
  <c r="L135" i="9"/>
  <c r="O135" i="9" s="1"/>
  <c r="L136" i="9"/>
  <c r="O136" i="9" s="1"/>
  <c r="L137" i="9"/>
  <c r="O137" i="9" s="1"/>
  <c r="L138" i="9"/>
  <c r="O138" i="9" s="1"/>
  <c r="L139" i="9"/>
  <c r="O139" i="9" s="1"/>
  <c r="L140" i="9"/>
  <c r="O140" i="9" s="1"/>
  <c r="L141" i="9"/>
  <c r="O141" i="9" s="1"/>
  <c r="L142" i="9"/>
  <c r="O142" i="9" s="1"/>
  <c r="L143" i="9"/>
  <c r="O143" i="9" s="1"/>
  <c r="L144" i="9"/>
  <c r="O144" i="9" s="1"/>
  <c r="L145" i="9"/>
  <c r="O145" i="9" s="1"/>
  <c r="M13"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G88" i="6"/>
  <c r="G131" i="6" s="1"/>
  <c r="G173" i="6" s="1"/>
  <c r="G215" i="6" s="1"/>
  <c r="G257" i="6" s="1"/>
  <c r="G299" i="6" s="1"/>
  <c r="G341" i="6" s="1"/>
  <c r="D88" i="6"/>
  <c r="D131" i="6" s="1"/>
  <c r="D173" i="6" s="1"/>
  <c r="D215" i="6" s="1"/>
  <c r="D257" i="6" s="1"/>
  <c r="D299" i="6" s="1"/>
  <c r="D341" i="6" s="1"/>
  <c r="G87" i="6"/>
  <c r="G130" i="6" s="1"/>
  <c r="G172" i="6" s="1"/>
  <c r="G214" i="6" s="1"/>
  <c r="G256" i="6" s="1"/>
  <c r="G298" i="6" s="1"/>
  <c r="G340" i="6" s="1"/>
  <c r="D87" i="6"/>
  <c r="D130" i="6" s="1"/>
  <c r="D172" i="6" s="1"/>
  <c r="D214" i="6" s="1"/>
  <c r="D256" i="6" s="1"/>
  <c r="D298" i="6" s="1"/>
  <c r="D340" i="6" s="1"/>
  <c r="G86" i="6"/>
  <c r="G129" i="6" s="1"/>
  <c r="G171" i="6" s="1"/>
  <c r="G213" i="6" s="1"/>
  <c r="G255" i="6" s="1"/>
  <c r="G297" i="6" s="1"/>
  <c r="G339" i="6" s="1"/>
  <c r="D86" i="6"/>
  <c r="D129" i="6" s="1"/>
  <c r="D171" i="6" s="1"/>
  <c r="D213" i="6" s="1"/>
  <c r="D255" i="6" s="1"/>
  <c r="D297" i="6" s="1"/>
  <c r="D339" i="6" s="1"/>
  <c r="G85" i="6"/>
  <c r="G128" i="6" s="1"/>
  <c r="G170" i="6" s="1"/>
  <c r="G212" i="6" s="1"/>
  <c r="G254" i="6" s="1"/>
  <c r="G296" i="6" s="1"/>
  <c r="G338" i="6" s="1"/>
  <c r="D85" i="6"/>
  <c r="D128" i="6" s="1"/>
  <c r="D170" i="6" s="1"/>
  <c r="D212" i="6" s="1"/>
  <c r="D254" i="6" s="1"/>
  <c r="D296" i="6" s="1"/>
  <c r="D338" i="6" s="1"/>
  <c r="G84" i="6"/>
  <c r="G127" i="6" s="1"/>
  <c r="G169" i="6" s="1"/>
  <c r="G211" i="6" s="1"/>
  <c r="G253" i="6" s="1"/>
  <c r="G295" i="6" s="1"/>
  <c r="G337" i="6" s="1"/>
  <c r="D84" i="6"/>
  <c r="D127" i="6" s="1"/>
  <c r="D169" i="6" s="1"/>
  <c r="D211" i="6" s="1"/>
  <c r="D253" i="6" s="1"/>
  <c r="D295" i="6" s="1"/>
  <c r="D337" i="6" s="1"/>
  <c r="G83" i="6"/>
  <c r="G126" i="6" s="1"/>
  <c r="G168" i="6" s="1"/>
  <c r="G210" i="6" s="1"/>
  <c r="G252" i="6" s="1"/>
  <c r="G294" i="6" s="1"/>
  <c r="G336" i="6" s="1"/>
  <c r="D83" i="6"/>
  <c r="D126" i="6" s="1"/>
  <c r="D168" i="6" s="1"/>
  <c r="D210" i="6" s="1"/>
  <c r="D252" i="6" s="1"/>
  <c r="D294" i="6" s="1"/>
  <c r="D336" i="6" s="1"/>
  <c r="G82" i="6"/>
  <c r="G125" i="6" s="1"/>
  <c r="G167" i="6" s="1"/>
  <c r="G209" i="6" s="1"/>
  <c r="G251" i="6" s="1"/>
  <c r="G293" i="6" s="1"/>
  <c r="G335" i="6" s="1"/>
  <c r="D82" i="6"/>
  <c r="G81" i="6"/>
  <c r="G124" i="6" s="1"/>
  <c r="G166" i="6" s="1"/>
  <c r="G208" i="6" s="1"/>
  <c r="G250" i="6" s="1"/>
  <c r="G292" i="6" s="1"/>
  <c r="G334" i="6" s="1"/>
  <c r="D81" i="6"/>
  <c r="D124" i="6" s="1"/>
  <c r="D166" i="6" s="1"/>
  <c r="D208" i="6" s="1"/>
  <c r="D250" i="6" s="1"/>
  <c r="D292" i="6" s="1"/>
  <c r="D334" i="6" s="1"/>
  <c r="G80" i="6"/>
  <c r="G123" i="6" s="1"/>
  <c r="G165" i="6" s="1"/>
  <c r="G207" i="6" s="1"/>
  <c r="G249" i="6" s="1"/>
  <c r="G291" i="6" s="1"/>
  <c r="G333" i="6" s="1"/>
  <c r="D80" i="6"/>
  <c r="D123" i="6" s="1"/>
  <c r="D165" i="6" s="1"/>
  <c r="D207" i="6" s="1"/>
  <c r="D249" i="6" s="1"/>
  <c r="D291" i="6" s="1"/>
  <c r="D333" i="6" s="1"/>
  <c r="G79" i="6"/>
  <c r="G122" i="6" s="1"/>
  <c r="G164" i="6" s="1"/>
  <c r="G206" i="6" s="1"/>
  <c r="G248" i="6" s="1"/>
  <c r="G290" i="6" s="1"/>
  <c r="G332" i="6" s="1"/>
  <c r="D79" i="6"/>
  <c r="D122" i="6" s="1"/>
  <c r="D164" i="6" s="1"/>
  <c r="D206" i="6" s="1"/>
  <c r="D248" i="6" s="1"/>
  <c r="D290" i="6" s="1"/>
  <c r="D332" i="6" s="1"/>
  <c r="G78" i="6"/>
  <c r="G121" i="6" s="1"/>
  <c r="G163" i="6" s="1"/>
  <c r="G205" i="6" s="1"/>
  <c r="G247" i="6" s="1"/>
  <c r="G289" i="6" s="1"/>
  <c r="G331" i="6" s="1"/>
  <c r="D78" i="6"/>
  <c r="D121" i="6" s="1"/>
  <c r="D163" i="6" s="1"/>
  <c r="D205" i="6" s="1"/>
  <c r="D247" i="6" s="1"/>
  <c r="D289" i="6" s="1"/>
  <c r="D331" i="6" s="1"/>
  <c r="G77" i="6"/>
  <c r="G120" i="6" s="1"/>
  <c r="G162" i="6" s="1"/>
  <c r="G204" i="6" s="1"/>
  <c r="G246" i="6" s="1"/>
  <c r="G288" i="6" s="1"/>
  <c r="G330" i="6" s="1"/>
  <c r="D77" i="6"/>
  <c r="D120" i="6" s="1"/>
  <c r="D162" i="6" s="1"/>
  <c r="D204" i="6" s="1"/>
  <c r="D246" i="6" s="1"/>
  <c r="D288" i="6" s="1"/>
  <c r="D330" i="6" s="1"/>
  <c r="G76" i="6"/>
  <c r="G119" i="6" s="1"/>
  <c r="G161" i="6" s="1"/>
  <c r="G203" i="6" s="1"/>
  <c r="G245" i="6" s="1"/>
  <c r="G287" i="6" s="1"/>
  <c r="G329" i="6" s="1"/>
  <c r="D76" i="6"/>
  <c r="D119" i="6" s="1"/>
  <c r="D161" i="6" s="1"/>
  <c r="D203" i="6" s="1"/>
  <c r="D245" i="6" s="1"/>
  <c r="D287" i="6" s="1"/>
  <c r="D329" i="6" s="1"/>
  <c r="G75" i="6"/>
  <c r="G118" i="6" s="1"/>
  <c r="G160" i="6" s="1"/>
  <c r="G202" i="6" s="1"/>
  <c r="G244" i="6" s="1"/>
  <c r="G286" i="6" s="1"/>
  <c r="G328" i="6" s="1"/>
  <c r="D75" i="6"/>
  <c r="D118" i="6" s="1"/>
  <c r="D160" i="6" s="1"/>
  <c r="D202" i="6" s="1"/>
  <c r="D244" i="6" s="1"/>
  <c r="D286" i="6" s="1"/>
  <c r="D328" i="6" s="1"/>
  <c r="G74" i="6"/>
  <c r="G117" i="6" s="1"/>
  <c r="G159" i="6" s="1"/>
  <c r="G201" i="6" s="1"/>
  <c r="G243" i="6" s="1"/>
  <c r="G285" i="6" s="1"/>
  <c r="G327" i="6" s="1"/>
  <c r="D74" i="6"/>
  <c r="D117" i="6" s="1"/>
  <c r="D159" i="6" s="1"/>
  <c r="D201" i="6" s="1"/>
  <c r="D243" i="6" s="1"/>
  <c r="D285" i="6" s="1"/>
  <c r="D327" i="6" s="1"/>
  <c r="G73" i="6"/>
  <c r="G116" i="6" s="1"/>
  <c r="G158" i="6" s="1"/>
  <c r="G200" i="6" s="1"/>
  <c r="G242" i="6" s="1"/>
  <c r="G284" i="6" s="1"/>
  <c r="G326" i="6" s="1"/>
  <c r="D73" i="6"/>
  <c r="D116" i="6" s="1"/>
  <c r="D158" i="6" s="1"/>
  <c r="D200" i="6" s="1"/>
  <c r="D242" i="6" s="1"/>
  <c r="D284" i="6" s="1"/>
  <c r="D326" i="6" s="1"/>
  <c r="G72" i="6"/>
  <c r="G115" i="6" s="1"/>
  <c r="G157" i="6" s="1"/>
  <c r="G199" i="6" s="1"/>
  <c r="G241" i="6" s="1"/>
  <c r="G283" i="6" s="1"/>
  <c r="G325" i="6" s="1"/>
  <c r="D72" i="6"/>
  <c r="D115" i="6" s="1"/>
  <c r="D157" i="6" s="1"/>
  <c r="D199" i="6" s="1"/>
  <c r="D241" i="6" s="1"/>
  <c r="D283" i="6" s="1"/>
  <c r="D325" i="6" s="1"/>
  <c r="G71" i="6"/>
  <c r="G114" i="6" s="1"/>
  <c r="G156" i="6" s="1"/>
  <c r="G198" i="6" s="1"/>
  <c r="G240" i="6" s="1"/>
  <c r="G282" i="6" s="1"/>
  <c r="G324" i="6" s="1"/>
  <c r="D71" i="6"/>
  <c r="D114" i="6" s="1"/>
  <c r="D156" i="6" s="1"/>
  <c r="D198" i="6" s="1"/>
  <c r="D240" i="6" s="1"/>
  <c r="D282" i="6" s="1"/>
  <c r="D324" i="6" s="1"/>
  <c r="G70" i="6"/>
  <c r="G113" i="6" s="1"/>
  <c r="G155" i="6" s="1"/>
  <c r="G197" i="6" s="1"/>
  <c r="G239" i="6" s="1"/>
  <c r="G281" i="6" s="1"/>
  <c r="G323" i="6" s="1"/>
  <c r="D70" i="6"/>
  <c r="D113" i="6" s="1"/>
  <c r="D155" i="6" s="1"/>
  <c r="D197" i="6" s="1"/>
  <c r="D239" i="6" s="1"/>
  <c r="D281" i="6" s="1"/>
  <c r="D323" i="6" s="1"/>
  <c r="G69" i="6"/>
  <c r="G112" i="6" s="1"/>
  <c r="G154" i="6" s="1"/>
  <c r="G196" i="6" s="1"/>
  <c r="G238" i="6" s="1"/>
  <c r="G280" i="6" s="1"/>
  <c r="G322" i="6" s="1"/>
  <c r="D69" i="6"/>
  <c r="D112" i="6" s="1"/>
  <c r="D154" i="6" s="1"/>
  <c r="D196" i="6" s="1"/>
  <c r="D238" i="6" s="1"/>
  <c r="D280" i="6" s="1"/>
  <c r="D322" i="6" s="1"/>
  <c r="G68" i="6"/>
  <c r="G111" i="6" s="1"/>
  <c r="G153" i="6" s="1"/>
  <c r="G195" i="6" s="1"/>
  <c r="G237" i="6" s="1"/>
  <c r="G279" i="6" s="1"/>
  <c r="G321" i="6" s="1"/>
  <c r="D68" i="6"/>
  <c r="D111" i="6" s="1"/>
  <c r="D153" i="6" s="1"/>
  <c r="D195" i="6" s="1"/>
  <c r="D237" i="6" s="1"/>
  <c r="D279" i="6" s="1"/>
  <c r="D321" i="6" s="1"/>
  <c r="G67" i="6"/>
  <c r="G110" i="6" s="1"/>
  <c r="G152" i="6" s="1"/>
  <c r="G194" i="6" s="1"/>
  <c r="G236" i="6" s="1"/>
  <c r="G278" i="6" s="1"/>
  <c r="G320" i="6" s="1"/>
  <c r="D67" i="6"/>
  <c r="D110" i="6" s="1"/>
  <c r="D152" i="6" s="1"/>
  <c r="D194" i="6" s="1"/>
  <c r="D236" i="6" s="1"/>
  <c r="D278" i="6" s="1"/>
  <c r="D320" i="6" s="1"/>
  <c r="G66" i="6"/>
  <c r="G109" i="6" s="1"/>
  <c r="G151" i="6" s="1"/>
  <c r="G193" i="6" s="1"/>
  <c r="G235" i="6" s="1"/>
  <c r="G277" i="6" s="1"/>
  <c r="G319" i="6" s="1"/>
  <c r="D66" i="6"/>
  <c r="D109" i="6" s="1"/>
  <c r="D151" i="6" s="1"/>
  <c r="D193" i="6" s="1"/>
  <c r="D235" i="6" s="1"/>
  <c r="D277" i="6" s="1"/>
  <c r="D319" i="6" s="1"/>
  <c r="G65" i="6"/>
  <c r="G108" i="6" s="1"/>
  <c r="G150" i="6" s="1"/>
  <c r="G192" i="6" s="1"/>
  <c r="G234" i="6" s="1"/>
  <c r="G276" i="6" s="1"/>
  <c r="G318" i="6" s="1"/>
  <c r="D65" i="6"/>
  <c r="D108" i="6" s="1"/>
  <c r="D150" i="6" s="1"/>
  <c r="D192" i="6" s="1"/>
  <c r="D234" i="6" s="1"/>
  <c r="D276" i="6" s="1"/>
  <c r="D318" i="6" s="1"/>
  <c r="G64" i="6"/>
  <c r="G107" i="6" s="1"/>
  <c r="G149" i="6" s="1"/>
  <c r="G191" i="6" s="1"/>
  <c r="G233" i="6" s="1"/>
  <c r="G275" i="6" s="1"/>
  <c r="G317" i="6" s="1"/>
  <c r="D64" i="6"/>
  <c r="D107" i="6" s="1"/>
  <c r="D149" i="6" s="1"/>
  <c r="D191" i="6" s="1"/>
  <c r="D233" i="6" s="1"/>
  <c r="D275" i="6" s="1"/>
  <c r="D317" i="6" s="1"/>
  <c r="G63" i="6"/>
  <c r="G106" i="6" s="1"/>
  <c r="G148" i="6" s="1"/>
  <c r="G190" i="6" s="1"/>
  <c r="G232" i="6" s="1"/>
  <c r="G274" i="6" s="1"/>
  <c r="G316" i="6" s="1"/>
  <c r="D63" i="6"/>
  <c r="D106" i="6" s="1"/>
  <c r="D148" i="6" s="1"/>
  <c r="D190" i="6" s="1"/>
  <c r="D232" i="6" s="1"/>
  <c r="D274" i="6" s="1"/>
  <c r="D316" i="6" s="1"/>
  <c r="G62" i="6"/>
  <c r="G105" i="6" s="1"/>
  <c r="G147" i="6" s="1"/>
  <c r="G189" i="6" s="1"/>
  <c r="G231" i="6" s="1"/>
  <c r="G273" i="6" s="1"/>
  <c r="G315" i="6" s="1"/>
  <c r="D62" i="6"/>
  <c r="D105" i="6" s="1"/>
  <c r="D147" i="6" s="1"/>
  <c r="D189" i="6" s="1"/>
  <c r="D231" i="6" s="1"/>
  <c r="D273" i="6" s="1"/>
  <c r="D315" i="6" s="1"/>
  <c r="G61" i="6"/>
  <c r="G104" i="6" s="1"/>
  <c r="G146" i="6" s="1"/>
  <c r="G188" i="6" s="1"/>
  <c r="G230" i="6" s="1"/>
  <c r="G272" i="6" s="1"/>
  <c r="G314" i="6" s="1"/>
  <c r="D61" i="6"/>
  <c r="D104" i="6" s="1"/>
  <c r="D146" i="6" s="1"/>
  <c r="D188" i="6" s="1"/>
  <c r="D230" i="6" s="1"/>
  <c r="D272" i="6" s="1"/>
  <c r="D314" i="6" s="1"/>
  <c r="G60" i="6"/>
  <c r="G103" i="6" s="1"/>
  <c r="G145" i="6" s="1"/>
  <c r="G187" i="6" s="1"/>
  <c r="G229" i="6" s="1"/>
  <c r="G271" i="6" s="1"/>
  <c r="G313" i="6" s="1"/>
  <c r="D60" i="6"/>
  <c r="D103" i="6" s="1"/>
  <c r="D145" i="6" s="1"/>
  <c r="D187" i="6" s="1"/>
  <c r="D229" i="6" s="1"/>
  <c r="D271" i="6" s="1"/>
  <c r="D313" i="6" s="1"/>
  <c r="G59" i="6"/>
  <c r="G102" i="6" s="1"/>
  <c r="G144" i="6" s="1"/>
  <c r="G186" i="6" s="1"/>
  <c r="G228" i="6" s="1"/>
  <c r="G270" i="6" s="1"/>
  <c r="G312" i="6" s="1"/>
  <c r="D59" i="6"/>
  <c r="D102" i="6" s="1"/>
  <c r="D144" i="6" s="1"/>
  <c r="D186" i="6" s="1"/>
  <c r="D228" i="6" s="1"/>
  <c r="D270" i="6" s="1"/>
  <c r="D312" i="6" s="1"/>
  <c r="J46" i="6"/>
  <c r="F58" i="14" s="1"/>
  <c r="F44" i="14" s="1"/>
  <c r="D125" i="6"/>
  <c r="D167" i="6" s="1"/>
  <c r="D209" i="6" s="1"/>
  <c r="D251" i="6" s="1"/>
  <c r="D293" i="6" s="1"/>
  <c r="D335" i="6" s="1"/>
  <c r="D138" i="5"/>
  <c r="D206" i="5" s="1"/>
  <c r="D273" i="5" s="1"/>
  <c r="D340" i="5" s="1"/>
  <c r="D407" i="5" s="1"/>
  <c r="D474" i="5" s="1"/>
  <c r="D137" i="5"/>
  <c r="D205" i="5" s="1"/>
  <c r="D272" i="5" s="1"/>
  <c r="D339" i="5" s="1"/>
  <c r="D406" i="5" s="1"/>
  <c r="D473" i="5" s="1"/>
  <c r="D136" i="5"/>
  <c r="D204" i="5" s="1"/>
  <c r="D271" i="5" s="1"/>
  <c r="D338" i="5" s="1"/>
  <c r="D405" i="5" s="1"/>
  <c r="D472" i="5" s="1"/>
  <c r="D135" i="5"/>
  <c r="D203" i="5" s="1"/>
  <c r="D270" i="5" s="1"/>
  <c r="D337" i="5" s="1"/>
  <c r="D404" i="5" s="1"/>
  <c r="D471" i="5" s="1"/>
  <c r="D134" i="5"/>
  <c r="D202" i="5" s="1"/>
  <c r="D269" i="5" s="1"/>
  <c r="D336" i="5" s="1"/>
  <c r="D403" i="5" s="1"/>
  <c r="D470" i="5" s="1"/>
  <c r="D133" i="5"/>
  <c r="D201" i="5" s="1"/>
  <c r="D268" i="5" s="1"/>
  <c r="D335" i="5" s="1"/>
  <c r="D402" i="5" s="1"/>
  <c r="D469" i="5" s="1"/>
  <c r="D132" i="5"/>
  <c r="D200" i="5" s="1"/>
  <c r="D267" i="5" s="1"/>
  <c r="D334" i="5" s="1"/>
  <c r="D401" i="5" s="1"/>
  <c r="D468" i="5" s="1"/>
  <c r="D131" i="5"/>
  <c r="D199" i="5" s="1"/>
  <c r="D266" i="5" s="1"/>
  <c r="D333" i="5" s="1"/>
  <c r="D400" i="5" s="1"/>
  <c r="D467" i="5" s="1"/>
  <c r="D130" i="5"/>
  <c r="D198" i="5" s="1"/>
  <c r="D265" i="5" s="1"/>
  <c r="D332" i="5" s="1"/>
  <c r="D399" i="5" s="1"/>
  <c r="D466" i="5" s="1"/>
  <c r="D129" i="5"/>
  <c r="D197" i="5" s="1"/>
  <c r="D264" i="5" s="1"/>
  <c r="D331" i="5" s="1"/>
  <c r="D398" i="5" s="1"/>
  <c r="D465" i="5" s="1"/>
  <c r="D128" i="5"/>
  <c r="D196" i="5" s="1"/>
  <c r="D263" i="5" s="1"/>
  <c r="D330" i="5" s="1"/>
  <c r="D397" i="5" s="1"/>
  <c r="D464" i="5" s="1"/>
  <c r="D127" i="5"/>
  <c r="D195" i="5" s="1"/>
  <c r="D262" i="5" s="1"/>
  <c r="D329" i="5" s="1"/>
  <c r="D396" i="5" s="1"/>
  <c r="D463" i="5" s="1"/>
  <c r="D126" i="5"/>
  <c r="D194" i="5" s="1"/>
  <c r="D261" i="5" s="1"/>
  <c r="D328" i="5" s="1"/>
  <c r="D395" i="5" s="1"/>
  <c r="D462" i="5" s="1"/>
  <c r="D125" i="5"/>
  <c r="D193" i="5" s="1"/>
  <c r="D260" i="5" s="1"/>
  <c r="D327" i="5" s="1"/>
  <c r="D394" i="5" s="1"/>
  <c r="D461" i="5" s="1"/>
  <c r="D124" i="5"/>
  <c r="D192" i="5" s="1"/>
  <c r="D259" i="5" s="1"/>
  <c r="D326" i="5" s="1"/>
  <c r="D393" i="5" s="1"/>
  <c r="D460" i="5" s="1"/>
  <c r="D123" i="5"/>
  <c r="D191" i="5" s="1"/>
  <c r="D258" i="5" s="1"/>
  <c r="D325" i="5" s="1"/>
  <c r="D392" i="5" s="1"/>
  <c r="D459" i="5" s="1"/>
  <c r="D122" i="5"/>
  <c r="D190" i="5" s="1"/>
  <c r="D257" i="5" s="1"/>
  <c r="D324" i="5" s="1"/>
  <c r="D391" i="5" s="1"/>
  <c r="D458" i="5" s="1"/>
  <c r="D121" i="5"/>
  <c r="D189" i="5" s="1"/>
  <c r="D256" i="5" s="1"/>
  <c r="D323" i="5" s="1"/>
  <c r="D390" i="5" s="1"/>
  <c r="D457" i="5" s="1"/>
  <c r="D120" i="5"/>
  <c r="D188" i="5" s="1"/>
  <c r="D255" i="5" s="1"/>
  <c r="D322" i="5" s="1"/>
  <c r="D389" i="5" s="1"/>
  <c r="D456" i="5" s="1"/>
  <c r="D119" i="5"/>
  <c r="D187" i="5" s="1"/>
  <c r="D254" i="5" s="1"/>
  <c r="D321" i="5" s="1"/>
  <c r="D388" i="5" s="1"/>
  <c r="D455" i="5" s="1"/>
  <c r="D118" i="5"/>
  <c r="D186" i="5" s="1"/>
  <c r="D253" i="5" s="1"/>
  <c r="D320" i="5" s="1"/>
  <c r="D387" i="5" s="1"/>
  <c r="D454" i="5" s="1"/>
  <c r="D117" i="5"/>
  <c r="D185" i="5" s="1"/>
  <c r="D252" i="5" s="1"/>
  <c r="D319" i="5" s="1"/>
  <c r="D386" i="5" s="1"/>
  <c r="D453" i="5" s="1"/>
  <c r="D116" i="5"/>
  <c r="D184" i="5" s="1"/>
  <c r="D251" i="5" s="1"/>
  <c r="D318" i="5" s="1"/>
  <c r="D385" i="5" s="1"/>
  <c r="D452" i="5" s="1"/>
  <c r="D115" i="5"/>
  <c r="D183" i="5" s="1"/>
  <c r="D250" i="5" s="1"/>
  <c r="D317" i="5" s="1"/>
  <c r="D384" i="5" s="1"/>
  <c r="D451" i="5" s="1"/>
  <c r="D114" i="5"/>
  <c r="D182" i="5" s="1"/>
  <c r="D249" i="5" s="1"/>
  <c r="D316" i="5" s="1"/>
  <c r="D383" i="5" s="1"/>
  <c r="D450" i="5" s="1"/>
  <c r="D113" i="5"/>
  <c r="D181" i="5" s="1"/>
  <c r="D248" i="5" s="1"/>
  <c r="D315" i="5" s="1"/>
  <c r="D382" i="5" s="1"/>
  <c r="D449" i="5" s="1"/>
  <c r="D112" i="5"/>
  <c r="D180" i="5" s="1"/>
  <c r="D247" i="5" s="1"/>
  <c r="D314" i="5" s="1"/>
  <c r="D381" i="5" s="1"/>
  <c r="D448" i="5" s="1"/>
  <c r="D111" i="5"/>
  <c r="D179" i="5" s="1"/>
  <c r="D246" i="5" s="1"/>
  <c r="D313" i="5" s="1"/>
  <c r="D380" i="5" s="1"/>
  <c r="D447" i="5" s="1"/>
  <c r="D110" i="5"/>
  <c r="D178" i="5" s="1"/>
  <c r="D245" i="5" s="1"/>
  <c r="D312" i="5" s="1"/>
  <c r="D379" i="5" s="1"/>
  <c r="D446" i="5" s="1"/>
  <c r="D109" i="5"/>
  <c r="D177" i="5" s="1"/>
  <c r="D244" i="5" s="1"/>
  <c r="D311" i="5" s="1"/>
  <c r="D378" i="5" s="1"/>
  <c r="D445" i="5" s="1"/>
  <c r="D108" i="5"/>
  <c r="D176" i="5" s="1"/>
  <c r="D243" i="5" s="1"/>
  <c r="D310" i="5" s="1"/>
  <c r="D377" i="5" s="1"/>
  <c r="D444" i="5" s="1"/>
  <c r="D107" i="5"/>
  <c r="D175" i="5" s="1"/>
  <c r="D242" i="5" s="1"/>
  <c r="D309" i="5" s="1"/>
  <c r="D376" i="5" s="1"/>
  <c r="D443" i="5" s="1"/>
  <c r="D106" i="5"/>
  <c r="D174" i="5" s="1"/>
  <c r="D241" i="5" s="1"/>
  <c r="D308" i="5" s="1"/>
  <c r="D375" i="5" s="1"/>
  <c r="D442" i="5" s="1"/>
  <c r="D105" i="5"/>
  <c r="D173" i="5" s="1"/>
  <c r="D240" i="5" s="1"/>
  <c r="D307" i="5" s="1"/>
  <c r="D374" i="5" s="1"/>
  <c r="D441" i="5" s="1"/>
  <c r="D104" i="5"/>
  <c r="D172" i="5" s="1"/>
  <c r="D239" i="5" s="1"/>
  <c r="D306" i="5" s="1"/>
  <c r="D373" i="5" s="1"/>
  <c r="D440" i="5" s="1"/>
  <c r="D103" i="5"/>
  <c r="D171" i="5" s="1"/>
  <c r="D238" i="5" s="1"/>
  <c r="D305" i="5" s="1"/>
  <c r="D372" i="5" s="1"/>
  <c r="D439" i="5" s="1"/>
  <c r="D102" i="5"/>
  <c r="D170" i="5" s="1"/>
  <c r="D237" i="5" s="1"/>
  <c r="D304" i="5" s="1"/>
  <c r="D371" i="5" s="1"/>
  <c r="D438" i="5" s="1"/>
  <c r="D101" i="5"/>
  <c r="D169" i="5" s="1"/>
  <c r="D236" i="5" s="1"/>
  <c r="D303" i="5" s="1"/>
  <c r="D370" i="5" s="1"/>
  <c r="D437" i="5" s="1"/>
  <c r="D100" i="5"/>
  <c r="D168" i="5" s="1"/>
  <c r="D235" i="5" s="1"/>
  <c r="D302" i="5" s="1"/>
  <c r="D369" i="5" s="1"/>
  <c r="D436" i="5" s="1"/>
  <c r="D99" i="5"/>
  <c r="D167" i="5" s="1"/>
  <c r="D234" i="5" s="1"/>
  <c r="D301" i="5" s="1"/>
  <c r="D368" i="5" s="1"/>
  <c r="D435" i="5" s="1"/>
  <c r="D98" i="5"/>
  <c r="D166" i="5" s="1"/>
  <c r="D233" i="5" s="1"/>
  <c r="D300" i="5" s="1"/>
  <c r="D367" i="5" s="1"/>
  <c r="D434" i="5" s="1"/>
  <c r="D97" i="5"/>
  <c r="D96" i="5"/>
  <c r="D164" i="5" s="1"/>
  <c r="D231" i="5" s="1"/>
  <c r="D298" i="5" s="1"/>
  <c r="D365" i="5" s="1"/>
  <c r="D432" i="5" s="1"/>
  <c r="D95" i="5"/>
  <c r="D163" i="5" s="1"/>
  <c r="D230" i="5" s="1"/>
  <c r="D297" i="5" s="1"/>
  <c r="D364" i="5" s="1"/>
  <c r="D431" i="5" s="1"/>
  <c r="D94" i="5"/>
  <c r="D162" i="5" s="1"/>
  <c r="D229" i="5" s="1"/>
  <c r="D296" i="5" s="1"/>
  <c r="D363" i="5" s="1"/>
  <c r="D430" i="5" s="1"/>
  <c r="D93" i="5"/>
  <c r="D161" i="5" s="1"/>
  <c r="D228" i="5" s="1"/>
  <c r="D295" i="5" s="1"/>
  <c r="D362" i="5" s="1"/>
  <c r="D429" i="5" s="1"/>
  <c r="D92" i="5"/>
  <c r="D160" i="5" s="1"/>
  <c r="D227" i="5" s="1"/>
  <c r="D294" i="5" s="1"/>
  <c r="D361" i="5" s="1"/>
  <c r="D428" i="5" s="1"/>
  <c r="D91" i="5"/>
  <c r="D159" i="5" s="1"/>
  <c r="D226" i="5" s="1"/>
  <c r="D293" i="5" s="1"/>
  <c r="D360" i="5" s="1"/>
  <c r="D427" i="5" s="1"/>
  <c r="D90" i="5"/>
  <c r="D158" i="5" s="1"/>
  <c r="D225" i="5" s="1"/>
  <c r="D292" i="5" s="1"/>
  <c r="D359" i="5" s="1"/>
  <c r="D426" i="5" s="1"/>
  <c r="D89" i="5"/>
  <c r="D157" i="5" s="1"/>
  <c r="D224" i="5" s="1"/>
  <c r="D291" i="5" s="1"/>
  <c r="D358" i="5" s="1"/>
  <c r="D425" i="5" s="1"/>
  <c r="D88" i="5"/>
  <c r="D156" i="5" s="1"/>
  <c r="D223" i="5" s="1"/>
  <c r="D290" i="5" s="1"/>
  <c r="D357" i="5" s="1"/>
  <c r="D424" i="5" s="1"/>
  <c r="D87" i="5"/>
  <c r="D155" i="5" s="1"/>
  <c r="D222" i="5" s="1"/>
  <c r="D289" i="5" s="1"/>
  <c r="D356" i="5" s="1"/>
  <c r="D423" i="5" s="1"/>
  <c r="D86" i="5"/>
  <c r="D154" i="5" s="1"/>
  <c r="D221" i="5" s="1"/>
  <c r="D288" i="5" s="1"/>
  <c r="D355" i="5" s="1"/>
  <c r="D422" i="5" s="1"/>
  <c r="D85" i="5"/>
  <c r="D153" i="5" s="1"/>
  <c r="D220" i="5" s="1"/>
  <c r="D287" i="5" s="1"/>
  <c r="D354" i="5" s="1"/>
  <c r="D421" i="5" s="1"/>
  <c r="D84" i="5"/>
  <c r="D152" i="5" s="1"/>
  <c r="D219" i="5" s="1"/>
  <c r="D286" i="5" s="1"/>
  <c r="D353" i="5" s="1"/>
  <c r="D420" i="5" s="1"/>
  <c r="AI98"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N71" i="5"/>
  <c r="J71" i="5"/>
  <c r="F57" i="14" s="1"/>
  <c r="F43" i="14" s="1"/>
  <c r="D165" i="5"/>
  <c r="D232" i="5" s="1"/>
  <c r="D299" i="5" s="1"/>
  <c r="D366" i="5" s="1"/>
  <c r="D433" i="5" s="1"/>
  <c r="I135" i="3"/>
  <c r="J135" i="3" s="1"/>
  <c r="K135" i="3" s="1"/>
  <c r="L135" i="3" s="1"/>
  <c r="M135" i="3" s="1"/>
  <c r="N135" i="3" s="1"/>
  <c r="L83" i="3"/>
  <c r="K83" i="3"/>
  <c r="J83" i="3"/>
  <c r="I83" i="3"/>
  <c r="H83" i="3"/>
  <c r="R7" i="9"/>
  <c r="H61" i="2"/>
  <c r="D68" i="2"/>
  <c r="E200" i="5"/>
  <c r="E267" i="5" s="1"/>
  <c r="E184" i="5"/>
  <c r="E168" i="5"/>
  <c r="E192" i="5"/>
  <c r="E176" i="5"/>
  <c r="E243" i="5" s="1"/>
  <c r="E204" i="5"/>
  <c r="E188" i="5"/>
  <c r="E172" i="5"/>
  <c r="F62" i="2"/>
  <c r="F67" i="2" s="1"/>
  <c r="H23" i="13"/>
  <c r="I39" i="13"/>
  <c r="E203" i="5"/>
  <c r="E180" i="5"/>
  <c r="E156" i="5"/>
  <c r="H172" i="5"/>
  <c r="H188" i="5"/>
  <c r="H200" i="5"/>
  <c r="C63" i="19"/>
  <c r="J39" i="13"/>
  <c r="G16" i="16"/>
  <c r="H16" i="16" s="1"/>
  <c r="I16" i="16" s="1"/>
  <c r="J16" i="16" s="1"/>
  <c r="K16" i="16" s="1"/>
  <c r="N18" i="9"/>
  <c r="N17" i="9"/>
  <c r="N16" i="9"/>
  <c r="N15" i="9"/>
  <c r="E66" i="4"/>
  <c r="D67" i="2"/>
  <c r="F38" i="10"/>
  <c r="H110" i="7" s="1"/>
  <c r="F35" i="10"/>
  <c r="H107" i="7" s="1"/>
  <c r="F27" i="10"/>
  <c r="I39" i="10"/>
  <c r="K111" i="7" s="1"/>
  <c r="I34" i="10"/>
  <c r="K106" i="7" s="1"/>
  <c r="F28" i="10"/>
  <c r="H38" i="10"/>
  <c r="J110" i="7" s="1"/>
  <c r="G39" i="10"/>
  <c r="I111" i="7" s="1"/>
  <c r="G38" i="10"/>
  <c r="I110" i="7" s="1"/>
  <c r="G35" i="10"/>
  <c r="I107" i="7" s="1"/>
  <c r="J34" i="10"/>
  <c r="L106" i="7" s="1"/>
  <c r="J35" i="10"/>
  <c r="L107" i="7" s="1"/>
  <c r="I23" i="10"/>
  <c r="I28" i="10"/>
  <c r="H23" i="10"/>
  <c r="H24" i="10"/>
  <c r="G23" i="10"/>
  <c r="G27" i="10"/>
  <c r="J23" i="10"/>
  <c r="J28" i="10"/>
  <c r="E128" i="6"/>
  <c r="E104" i="6"/>
  <c r="H35" i="10"/>
  <c r="J107" i="7" s="1"/>
  <c r="G188" i="5" l="1"/>
  <c r="AK188" i="5" s="1"/>
  <c r="AL188" i="5" s="1"/>
  <c r="F29" i="13"/>
  <c r="F38" i="16"/>
  <c r="F180" i="5"/>
  <c r="AG180" i="5" s="1"/>
  <c r="AH180" i="5" s="1"/>
  <c r="F26" i="13"/>
  <c r="F27" i="13" s="1"/>
  <c r="F40" i="16"/>
  <c r="G156" i="5"/>
  <c r="AI156" i="5" s="1"/>
  <c r="G25" i="13"/>
  <c r="F173" i="5"/>
  <c r="H25" i="13"/>
  <c r="J23" i="13"/>
  <c r="AG86" i="6"/>
  <c r="AH86" i="6" s="1"/>
  <c r="I23" i="13"/>
  <c r="G23" i="13"/>
  <c r="F45" i="13"/>
  <c r="F39" i="16"/>
  <c r="G73" i="2"/>
  <c r="G78" i="2" s="1"/>
  <c r="I16" i="7"/>
  <c r="H44" i="2"/>
  <c r="I27" i="7"/>
  <c r="K14" i="12"/>
  <c r="I38" i="13"/>
  <c r="AF168" i="5"/>
  <c r="AF41" i="4"/>
  <c r="Y41" i="4"/>
  <c r="AA41" i="4" s="1"/>
  <c r="AF116" i="5"/>
  <c r="AF132" i="5"/>
  <c r="AF188" i="5"/>
  <c r="H115" i="3"/>
  <c r="AF40" i="4"/>
  <c r="Y40" i="4"/>
  <c r="AF93" i="5"/>
  <c r="AF101" i="5"/>
  <c r="AF109" i="5"/>
  <c r="AF117" i="5"/>
  <c r="AF125" i="5"/>
  <c r="AF133" i="5"/>
  <c r="AG213" i="6"/>
  <c r="AH213" i="6" s="1"/>
  <c r="F255" i="6"/>
  <c r="AF84" i="5"/>
  <c r="AF124" i="5"/>
  <c r="H184" i="5"/>
  <c r="H251" i="5" s="1"/>
  <c r="AF47" i="4"/>
  <c r="Y47" i="4"/>
  <c r="AB47" i="4" s="1"/>
  <c r="AF86" i="5"/>
  <c r="AF94" i="5"/>
  <c r="AF102" i="5"/>
  <c r="AF110" i="5"/>
  <c r="AF118" i="5"/>
  <c r="AF126" i="5"/>
  <c r="AF134" i="5"/>
  <c r="F196" i="5"/>
  <c r="AG196" i="5" s="1"/>
  <c r="AH196" i="5" s="1"/>
  <c r="AF92" i="5"/>
  <c r="AF172" i="5"/>
  <c r="AF46" i="4"/>
  <c r="Y46" i="4"/>
  <c r="AF87" i="5"/>
  <c r="AF95" i="5"/>
  <c r="AF103" i="5"/>
  <c r="AF111" i="5"/>
  <c r="AF119" i="5"/>
  <c r="AF127" i="5"/>
  <c r="AF135" i="5"/>
  <c r="H103" i="6"/>
  <c r="AF103" i="6" s="1"/>
  <c r="AF60" i="6"/>
  <c r="AF152" i="5"/>
  <c r="AF200" i="5"/>
  <c r="AF108" i="5"/>
  <c r="AF45" i="4"/>
  <c r="Y45" i="4"/>
  <c r="AA45" i="4" s="1"/>
  <c r="AF88" i="5"/>
  <c r="AF96" i="5"/>
  <c r="AF104" i="5"/>
  <c r="AF112" i="5"/>
  <c r="AF120" i="5"/>
  <c r="AF128" i="5"/>
  <c r="AF136" i="5"/>
  <c r="L19" i="12"/>
  <c r="K23" i="13" s="1"/>
  <c r="H38" i="13"/>
  <c r="AF156" i="5"/>
  <c r="AF44" i="4"/>
  <c r="Y44" i="4"/>
  <c r="AB44" i="4" s="1"/>
  <c r="AF89" i="5"/>
  <c r="AF97" i="5"/>
  <c r="AF105" i="5"/>
  <c r="AF113" i="5"/>
  <c r="AF121" i="5"/>
  <c r="AF129" i="5"/>
  <c r="AF137" i="5"/>
  <c r="G38" i="13"/>
  <c r="F164" i="5"/>
  <c r="AF43" i="4"/>
  <c r="Y43" i="4"/>
  <c r="AB43" i="4" s="1"/>
  <c r="AF90" i="5"/>
  <c r="AF98" i="5"/>
  <c r="AF106" i="5"/>
  <c r="AF114" i="5"/>
  <c r="AF122" i="5"/>
  <c r="AF130" i="5"/>
  <c r="AF138" i="5"/>
  <c r="I59" i="6"/>
  <c r="Y59" i="6" s="1"/>
  <c r="AF85" i="5"/>
  <c r="AF100" i="5"/>
  <c r="AF204" i="5"/>
  <c r="AF42" i="4"/>
  <c r="Y42" i="4"/>
  <c r="AB42" i="4" s="1"/>
  <c r="AF91" i="5"/>
  <c r="AF99" i="5"/>
  <c r="AF107" i="5"/>
  <c r="AF115" i="5"/>
  <c r="AF123" i="5"/>
  <c r="AF131" i="5"/>
  <c r="Y60" i="6"/>
  <c r="H102" i="6"/>
  <c r="AF102" i="6" s="1"/>
  <c r="AF59" i="6"/>
  <c r="J28" i="7"/>
  <c r="J29" i="7"/>
  <c r="J37" i="3"/>
  <c r="J36" i="3"/>
  <c r="N13" i="9"/>
  <c r="R13" i="9" s="1"/>
  <c r="F51" i="10"/>
  <c r="G16" i="10" s="1"/>
  <c r="G65" i="14"/>
  <c r="F76" i="2"/>
  <c r="J28" i="3"/>
  <c r="F66" i="2"/>
  <c r="G76" i="2"/>
  <c r="H66" i="2"/>
  <c r="G66" i="2"/>
  <c r="G63" i="2"/>
  <c r="G68" i="2" s="1"/>
  <c r="D78" i="2"/>
  <c r="H43" i="2"/>
  <c r="I26" i="2"/>
  <c r="D77" i="2"/>
  <c r="E178" i="6"/>
  <c r="R107" i="6"/>
  <c r="I107" i="6"/>
  <c r="P107" i="6"/>
  <c r="N107" i="6"/>
  <c r="AD107" i="6" s="1"/>
  <c r="T107" i="6"/>
  <c r="S107" i="6"/>
  <c r="R87" i="6"/>
  <c r="I87" i="6"/>
  <c r="Y87" i="6" s="1"/>
  <c r="S87" i="6"/>
  <c r="P87" i="6"/>
  <c r="N87" i="6"/>
  <c r="AD87" i="6" s="1"/>
  <c r="T87" i="6"/>
  <c r="R83" i="6"/>
  <c r="I83" i="6"/>
  <c r="Y83" i="6" s="1"/>
  <c r="N83" i="6"/>
  <c r="AD83" i="6" s="1"/>
  <c r="T83" i="6"/>
  <c r="S83" i="6"/>
  <c r="P83" i="6"/>
  <c r="R79" i="6"/>
  <c r="I79" i="6"/>
  <c r="Y79" i="6" s="1"/>
  <c r="S79" i="6"/>
  <c r="P79" i="6"/>
  <c r="N79" i="6"/>
  <c r="AD79" i="6" s="1"/>
  <c r="T79" i="6"/>
  <c r="R75" i="6"/>
  <c r="I75" i="6"/>
  <c r="Y75" i="6" s="1"/>
  <c r="N75" i="6"/>
  <c r="AD75" i="6" s="1"/>
  <c r="T75" i="6"/>
  <c r="S75" i="6"/>
  <c r="P75" i="6"/>
  <c r="R71" i="6"/>
  <c r="I71" i="6"/>
  <c r="Y71" i="6" s="1"/>
  <c r="S71" i="6"/>
  <c r="P71" i="6"/>
  <c r="N71" i="6"/>
  <c r="AD71" i="6" s="1"/>
  <c r="T71" i="6"/>
  <c r="R67" i="6"/>
  <c r="I67" i="6"/>
  <c r="Y67" i="6" s="1"/>
  <c r="N67" i="6"/>
  <c r="AD67" i="6" s="1"/>
  <c r="T67" i="6"/>
  <c r="S67" i="6"/>
  <c r="P67" i="6"/>
  <c r="R63" i="6"/>
  <c r="I63" i="6"/>
  <c r="Y63" i="6" s="1"/>
  <c r="S63" i="6"/>
  <c r="P63" i="6"/>
  <c r="N63" i="6"/>
  <c r="AD63" i="6" s="1"/>
  <c r="T63" i="6"/>
  <c r="R70" i="4"/>
  <c r="I70" i="4"/>
  <c r="N70" i="4"/>
  <c r="AD70" i="4" s="1"/>
  <c r="T70" i="4"/>
  <c r="S70" i="4"/>
  <c r="P70" i="4"/>
  <c r="R65" i="4"/>
  <c r="I65" i="4"/>
  <c r="S65" i="4"/>
  <c r="P65" i="4"/>
  <c r="N65" i="4"/>
  <c r="AD65" i="4" s="1"/>
  <c r="T65" i="4"/>
  <c r="R137" i="5"/>
  <c r="I137" i="5"/>
  <c r="Y137" i="5" s="1"/>
  <c r="S137" i="5"/>
  <c r="P137" i="5"/>
  <c r="O137" i="5"/>
  <c r="T137" i="5"/>
  <c r="N137" i="5"/>
  <c r="R135" i="5"/>
  <c r="I135" i="5"/>
  <c r="Y135" i="5" s="1"/>
  <c r="P135" i="5"/>
  <c r="O135" i="5"/>
  <c r="S135" i="5"/>
  <c r="N135" i="5"/>
  <c r="T135" i="5"/>
  <c r="R133" i="5"/>
  <c r="I133" i="5"/>
  <c r="Y133" i="5" s="1"/>
  <c r="P133" i="5"/>
  <c r="O133" i="5"/>
  <c r="N133" i="5"/>
  <c r="T133" i="5"/>
  <c r="S133" i="5"/>
  <c r="R131" i="5"/>
  <c r="I131" i="5"/>
  <c r="Y131" i="5" s="1"/>
  <c r="P131" i="5"/>
  <c r="O131" i="5"/>
  <c r="T131" i="5"/>
  <c r="N131" i="5"/>
  <c r="S131" i="5"/>
  <c r="R129" i="5"/>
  <c r="I129" i="5"/>
  <c r="Y129" i="5" s="1"/>
  <c r="P129" i="5"/>
  <c r="O129" i="5"/>
  <c r="T129" i="5"/>
  <c r="S129" i="5"/>
  <c r="N129" i="5"/>
  <c r="R127" i="5"/>
  <c r="I127" i="5"/>
  <c r="Y127" i="5" s="1"/>
  <c r="P127" i="5"/>
  <c r="O127" i="5"/>
  <c r="S127" i="5"/>
  <c r="N127" i="5"/>
  <c r="T127" i="5"/>
  <c r="R125" i="5"/>
  <c r="I125" i="5"/>
  <c r="Y125" i="5" s="1"/>
  <c r="P125" i="5"/>
  <c r="O125" i="5"/>
  <c r="N125" i="5"/>
  <c r="T125" i="5"/>
  <c r="S125" i="5"/>
  <c r="R123" i="5"/>
  <c r="I123" i="5"/>
  <c r="Y123" i="5" s="1"/>
  <c r="P123" i="5"/>
  <c r="O123" i="5"/>
  <c r="T123" i="5"/>
  <c r="S123" i="5"/>
  <c r="N123" i="5"/>
  <c r="R121" i="5"/>
  <c r="I121" i="5"/>
  <c r="Y121" i="5" s="1"/>
  <c r="P121" i="5"/>
  <c r="O121" i="5"/>
  <c r="T121" i="5"/>
  <c r="S121" i="5"/>
  <c r="N121" i="5"/>
  <c r="R119" i="5"/>
  <c r="I119" i="5"/>
  <c r="Y119" i="5" s="1"/>
  <c r="S119" i="5"/>
  <c r="P119" i="5"/>
  <c r="O119" i="5"/>
  <c r="N119" i="5"/>
  <c r="T119" i="5"/>
  <c r="R117" i="5"/>
  <c r="I117" i="5"/>
  <c r="Y117" i="5" s="1"/>
  <c r="S117" i="5"/>
  <c r="P117" i="5"/>
  <c r="N117" i="5"/>
  <c r="T117" i="5"/>
  <c r="O117" i="5"/>
  <c r="R115" i="5"/>
  <c r="I115" i="5"/>
  <c r="Y115" i="5" s="1"/>
  <c r="S115" i="5"/>
  <c r="P115" i="5"/>
  <c r="T115" i="5"/>
  <c r="O115" i="5"/>
  <c r="N115" i="5"/>
  <c r="R113" i="5"/>
  <c r="I113" i="5"/>
  <c r="Y113" i="5" s="1"/>
  <c r="S113" i="5"/>
  <c r="P113" i="5"/>
  <c r="T113" i="5"/>
  <c r="O113" i="5"/>
  <c r="N113" i="5"/>
  <c r="R111" i="5"/>
  <c r="I111" i="5"/>
  <c r="Y111" i="5" s="1"/>
  <c r="T111" i="5"/>
  <c r="N111" i="5"/>
  <c r="S111" i="5"/>
  <c r="P111" i="5"/>
  <c r="O111" i="5"/>
  <c r="R109" i="5"/>
  <c r="I109" i="5"/>
  <c r="Y109" i="5" s="1"/>
  <c r="T109" i="5"/>
  <c r="N109" i="5"/>
  <c r="S109" i="5"/>
  <c r="O109" i="5"/>
  <c r="P109" i="5"/>
  <c r="R107" i="5"/>
  <c r="I107" i="5"/>
  <c r="Y107" i="5" s="1"/>
  <c r="T107" i="5"/>
  <c r="N107" i="5"/>
  <c r="S107" i="5"/>
  <c r="P107" i="5"/>
  <c r="O107" i="5"/>
  <c r="R105" i="5"/>
  <c r="I105" i="5"/>
  <c r="Y105" i="5" s="1"/>
  <c r="T105" i="5"/>
  <c r="N105" i="5"/>
  <c r="S105" i="5"/>
  <c r="P105" i="5"/>
  <c r="O105" i="5"/>
  <c r="R103" i="5"/>
  <c r="I103" i="5"/>
  <c r="Y103" i="5" s="1"/>
  <c r="O103" i="5"/>
  <c r="T103" i="5"/>
  <c r="N103" i="5"/>
  <c r="S103" i="5"/>
  <c r="P103" i="5"/>
  <c r="R101" i="5"/>
  <c r="I101" i="5"/>
  <c r="Y101" i="5" s="1"/>
  <c r="O101" i="5"/>
  <c r="T101" i="5"/>
  <c r="N101" i="5"/>
  <c r="P101" i="5"/>
  <c r="S101" i="5"/>
  <c r="R99" i="5"/>
  <c r="I99" i="5"/>
  <c r="Y99" i="5" s="1"/>
  <c r="P99" i="5"/>
  <c r="O99" i="5"/>
  <c r="N99" i="5"/>
  <c r="T99" i="5"/>
  <c r="S99" i="5"/>
  <c r="R97" i="5"/>
  <c r="I97" i="5"/>
  <c r="Y97" i="5" s="1"/>
  <c r="O97" i="5"/>
  <c r="N97" i="5"/>
  <c r="P97" i="5"/>
  <c r="T97" i="5"/>
  <c r="S97" i="5"/>
  <c r="R95" i="5"/>
  <c r="I95" i="5"/>
  <c r="Y95" i="5" s="1"/>
  <c r="T95" i="5"/>
  <c r="N95" i="5"/>
  <c r="S95" i="5"/>
  <c r="O95" i="5"/>
  <c r="P95" i="5"/>
  <c r="R93" i="5"/>
  <c r="I93" i="5"/>
  <c r="Y93" i="5" s="1"/>
  <c r="T93" i="5"/>
  <c r="N93" i="5"/>
  <c r="S93" i="5"/>
  <c r="O93" i="5"/>
  <c r="P93" i="5"/>
  <c r="R91" i="5"/>
  <c r="I91" i="5"/>
  <c r="Y91" i="5" s="1"/>
  <c r="O91" i="5"/>
  <c r="T91" i="5"/>
  <c r="N91" i="5"/>
  <c r="P91" i="5"/>
  <c r="S91" i="5"/>
  <c r="R89" i="5"/>
  <c r="I89" i="5"/>
  <c r="Y89" i="5" s="1"/>
  <c r="O89" i="5"/>
  <c r="P89" i="5"/>
  <c r="T89" i="5"/>
  <c r="N89" i="5"/>
  <c r="S89" i="5"/>
  <c r="R87" i="5"/>
  <c r="I87" i="5"/>
  <c r="Y87" i="5" s="1"/>
  <c r="O87" i="5"/>
  <c r="T87" i="5"/>
  <c r="N87" i="5"/>
  <c r="S87" i="5"/>
  <c r="P87" i="5"/>
  <c r="G16" i="8"/>
  <c r="G19" i="8" s="1"/>
  <c r="H38" i="12" s="1"/>
  <c r="H42" i="12" s="1"/>
  <c r="G38" i="16" s="1"/>
  <c r="H63" i="4"/>
  <c r="R86" i="6"/>
  <c r="I86" i="6"/>
  <c r="Y86" i="6" s="1"/>
  <c r="S86" i="6"/>
  <c r="P86" i="6"/>
  <c r="N86" i="6"/>
  <c r="AD86" i="6" s="1"/>
  <c r="T86" i="6"/>
  <c r="R82" i="6"/>
  <c r="I82" i="6"/>
  <c r="Y82" i="6" s="1"/>
  <c r="N82" i="6"/>
  <c r="AD82" i="6" s="1"/>
  <c r="T82" i="6"/>
  <c r="S82" i="6"/>
  <c r="P82" i="6"/>
  <c r="R78" i="6"/>
  <c r="I78" i="6"/>
  <c r="Y78" i="6" s="1"/>
  <c r="S78" i="6"/>
  <c r="P78" i="6"/>
  <c r="N78" i="6"/>
  <c r="AD78" i="6" s="1"/>
  <c r="T78" i="6"/>
  <c r="R74" i="6"/>
  <c r="I74" i="6"/>
  <c r="Y74" i="6" s="1"/>
  <c r="N74" i="6"/>
  <c r="AD74" i="6" s="1"/>
  <c r="T74" i="6"/>
  <c r="S74" i="6"/>
  <c r="P74" i="6"/>
  <c r="R70" i="6"/>
  <c r="I70" i="6"/>
  <c r="Y70" i="6" s="1"/>
  <c r="S70" i="6"/>
  <c r="P70" i="6"/>
  <c r="N70" i="6"/>
  <c r="AD70" i="6" s="1"/>
  <c r="T70" i="6"/>
  <c r="R66" i="6"/>
  <c r="I66" i="6"/>
  <c r="Y66" i="6" s="1"/>
  <c r="N66" i="6"/>
  <c r="AD66" i="6" s="1"/>
  <c r="T66" i="6"/>
  <c r="S66" i="6"/>
  <c r="P66" i="6"/>
  <c r="R62" i="6"/>
  <c r="I62" i="6"/>
  <c r="Y62" i="6" s="1"/>
  <c r="S62" i="6"/>
  <c r="P62" i="6"/>
  <c r="N62" i="6"/>
  <c r="AD62" i="6" s="1"/>
  <c r="T62" i="6"/>
  <c r="R69" i="4"/>
  <c r="I69" i="4"/>
  <c r="N69" i="4"/>
  <c r="AD69" i="4" s="1"/>
  <c r="T69" i="4"/>
  <c r="S69" i="4"/>
  <c r="P69" i="4"/>
  <c r="R64" i="4"/>
  <c r="I64" i="4"/>
  <c r="T64" i="4"/>
  <c r="S64" i="4"/>
  <c r="P64" i="4"/>
  <c r="N64" i="4"/>
  <c r="AD64" i="4" s="1"/>
  <c r="J88" i="3"/>
  <c r="J155" i="3" s="1"/>
  <c r="R85" i="6"/>
  <c r="I85" i="6"/>
  <c r="Y85" i="6" s="1"/>
  <c r="S85" i="6"/>
  <c r="P85" i="6"/>
  <c r="N85" i="6"/>
  <c r="AD85" i="6" s="1"/>
  <c r="T85" i="6"/>
  <c r="R81" i="6"/>
  <c r="I81" i="6"/>
  <c r="Y81" i="6" s="1"/>
  <c r="N81" i="6"/>
  <c r="AD81" i="6" s="1"/>
  <c r="T81" i="6"/>
  <c r="S81" i="6"/>
  <c r="P81" i="6"/>
  <c r="R77" i="6"/>
  <c r="I77" i="6"/>
  <c r="Y77" i="6" s="1"/>
  <c r="S77" i="6"/>
  <c r="P77" i="6"/>
  <c r="N77" i="6"/>
  <c r="AD77" i="6" s="1"/>
  <c r="T77" i="6"/>
  <c r="R73" i="6"/>
  <c r="I73" i="6"/>
  <c r="Y73" i="6" s="1"/>
  <c r="N73" i="6"/>
  <c r="AD73" i="6" s="1"/>
  <c r="T73" i="6"/>
  <c r="S73" i="6"/>
  <c r="P73" i="6"/>
  <c r="R69" i="6"/>
  <c r="I69" i="6"/>
  <c r="Y69" i="6" s="1"/>
  <c r="S69" i="6"/>
  <c r="P69" i="6"/>
  <c r="N69" i="6"/>
  <c r="AD69" i="6" s="1"/>
  <c r="T69" i="6"/>
  <c r="R65" i="6"/>
  <c r="I65" i="6"/>
  <c r="Y65" i="6" s="1"/>
  <c r="N65" i="6"/>
  <c r="AD65" i="6" s="1"/>
  <c r="T65" i="6"/>
  <c r="S65" i="6"/>
  <c r="P65" i="6"/>
  <c r="R61" i="6"/>
  <c r="I61" i="6"/>
  <c r="Y61" i="6" s="1"/>
  <c r="S61" i="6"/>
  <c r="P61" i="6"/>
  <c r="N61" i="6"/>
  <c r="AD61" i="6" s="1"/>
  <c r="T61" i="6"/>
  <c r="R68" i="4"/>
  <c r="I68" i="4"/>
  <c r="P68" i="4"/>
  <c r="N68" i="4"/>
  <c r="AD68" i="4" s="1"/>
  <c r="T68" i="4"/>
  <c r="S68" i="4"/>
  <c r="R138" i="5"/>
  <c r="I138" i="5"/>
  <c r="Y138" i="5" s="1"/>
  <c r="O138" i="5"/>
  <c r="T138" i="5"/>
  <c r="N138" i="5"/>
  <c r="S138" i="5"/>
  <c r="P138" i="5"/>
  <c r="R136" i="5"/>
  <c r="I136" i="5"/>
  <c r="Y136" i="5" s="1"/>
  <c r="T136" i="5"/>
  <c r="N136" i="5"/>
  <c r="S136" i="5"/>
  <c r="P136" i="5"/>
  <c r="O136" i="5"/>
  <c r="R134" i="5"/>
  <c r="I134" i="5"/>
  <c r="Y134" i="5" s="1"/>
  <c r="T134" i="5"/>
  <c r="N134" i="5"/>
  <c r="S134" i="5"/>
  <c r="O134" i="5"/>
  <c r="P134" i="5"/>
  <c r="R132" i="5"/>
  <c r="I132" i="5"/>
  <c r="Y132" i="5" s="1"/>
  <c r="T132" i="5"/>
  <c r="N132" i="5"/>
  <c r="S132" i="5"/>
  <c r="O132" i="5"/>
  <c r="P132" i="5"/>
  <c r="R130" i="5"/>
  <c r="I130" i="5"/>
  <c r="Y130" i="5" s="1"/>
  <c r="T130" i="5"/>
  <c r="N130" i="5"/>
  <c r="S130" i="5"/>
  <c r="P130" i="5"/>
  <c r="O130" i="5"/>
  <c r="R128" i="5"/>
  <c r="I128" i="5"/>
  <c r="Y128" i="5" s="1"/>
  <c r="T128" i="5"/>
  <c r="N128" i="5"/>
  <c r="S128" i="5"/>
  <c r="P128" i="5"/>
  <c r="O128" i="5"/>
  <c r="R126" i="5"/>
  <c r="I126" i="5"/>
  <c r="Y126" i="5" s="1"/>
  <c r="T126" i="5"/>
  <c r="N126" i="5"/>
  <c r="S126" i="5"/>
  <c r="O126" i="5"/>
  <c r="P126" i="5"/>
  <c r="R124" i="5"/>
  <c r="I124" i="5"/>
  <c r="Y124" i="5" s="1"/>
  <c r="T124" i="5"/>
  <c r="N124" i="5"/>
  <c r="S124" i="5"/>
  <c r="P124" i="5"/>
  <c r="O124" i="5"/>
  <c r="R122" i="5"/>
  <c r="I122" i="5"/>
  <c r="Y122" i="5" s="1"/>
  <c r="T122" i="5"/>
  <c r="N122" i="5"/>
  <c r="S122" i="5"/>
  <c r="P122" i="5"/>
  <c r="O122" i="5"/>
  <c r="R120" i="5"/>
  <c r="I120" i="5"/>
  <c r="Y120" i="5" s="1"/>
  <c r="O120" i="5"/>
  <c r="T120" i="5"/>
  <c r="N120" i="5"/>
  <c r="S120" i="5"/>
  <c r="P120" i="5"/>
  <c r="R118" i="5"/>
  <c r="I118" i="5"/>
  <c r="Y118" i="5" s="1"/>
  <c r="O118" i="5"/>
  <c r="T118" i="5"/>
  <c r="N118" i="5"/>
  <c r="P118" i="5"/>
  <c r="S118" i="5"/>
  <c r="R116" i="5"/>
  <c r="I116" i="5"/>
  <c r="Y116" i="5" s="1"/>
  <c r="O116" i="5"/>
  <c r="T116" i="5"/>
  <c r="N116" i="5"/>
  <c r="S116" i="5"/>
  <c r="P116" i="5"/>
  <c r="R114" i="5"/>
  <c r="I114" i="5"/>
  <c r="Y114" i="5" s="1"/>
  <c r="O114" i="5"/>
  <c r="T114" i="5"/>
  <c r="N114" i="5"/>
  <c r="S114" i="5"/>
  <c r="P114" i="5"/>
  <c r="R112" i="5"/>
  <c r="I112" i="5"/>
  <c r="Y112" i="5" s="1"/>
  <c r="P112" i="5"/>
  <c r="O112" i="5"/>
  <c r="T112" i="5"/>
  <c r="S112" i="5"/>
  <c r="N112" i="5"/>
  <c r="R110" i="5"/>
  <c r="I110" i="5"/>
  <c r="Y110" i="5" s="1"/>
  <c r="P110" i="5"/>
  <c r="O110" i="5"/>
  <c r="S110" i="5"/>
  <c r="N110" i="5"/>
  <c r="T110" i="5"/>
  <c r="R108" i="5"/>
  <c r="I108" i="5"/>
  <c r="Y108" i="5" s="1"/>
  <c r="P108" i="5"/>
  <c r="O108" i="5"/>
  <c r="N108" i="5"/>
  <c r="S108" i="5"/>
  <c r="T108" i="5"/>
  <c r="R106" i="5"/>
  <c r="I106" i="5"/>
  <c r="Y106" i="5" s="1"/>
  <c r="P106" i="5"/>
  <c r="O106" i="5"/>
  <c r="T106" i="5"/>
  <c r="S106" i="5"/>
  <c r="N106" i="5"/>
  <c r="R104" i="5"/>
  <c r="I104" i="5"/>
  <c r="Y104" i="5" s="1"/>
  <c r="P104" i="5"/>
  <c r="O104" i="5"/>
  <c r="T104" i="5"/>
  <c r="S104" i="5"/>
  <c r="N104" i="5"/>
  <c r="R102" i="5"/>
  <c r="I102" i="5"/>
  <c r="Y102" i="5" s="1"/>
  <c r="S102" i="5"/>
  <c r="P102" i="5"/>
  <c r="O102" i="5"/>
  <c r="N102" i="5"/>
  <c r="T102" i="5"/>
  <c r="R100" i="5"/>
  <c r="I100" i="5"/>
  <c r="Y100" i="5" s="1"/>
  <c r="T100" i="5"/>
  <c r="N100" i="5"/>
  <c r="S100" i="5"/>
  <c r="O100" i="5"/>
  <c r="P100" i="5"/>
  <c r="R98" i="5"/>
  <c r="I98" i="5"/>
  <c r="Y98" i="5" s="1"/>
  <c r="T98" i="5"/>
  <c r="N98" i="5"/>
  <c r="S98" i="5"/>
  <c r="O98" i="5"/>
  <c r="P98" i="5"/>
  <c r="R96" i="5"/>
  <c r="I96" i="5"/>
  <c r="Y96" i="5" s="1"/>
  <c r="P96" i="5"/>
  <c r="O96" i="5"/>
  <c r="T96" i="5"/>
  <c r="N96" i="5"/>
  <c r="S96" i="5"/>
  <c r="R94" i="5"/>
  <c r="I94" i="5"/>
  <c r="Y94" i="5" s="1"/>
  <c r="P94" i="5"/>
  <c r="S94" i="5"/>
  <c r="O94" i="5"/>
  <c r="T94" i="5"/>
  <c r="N94" i="5"/>
  <c r="R92" i="5"/>
  <c r="I92" i="5"/>
  <c r="Y92" i="5" s="1"/>
  <c r="S92" i="5"/>
  <c r="N92" i="5"/>
  <c r="P92" i="5"/>
  <c r="O92" i="5"/>
  <c r="T92" i="5"/>
  <c r="R90" i="5"/>
  <c r="I90" i="5"/>
  <c r="Y90" i="5" s="1"/>
  <c r="S90" i="5"/>
  <c r="P90" i="5"/>
  <c r="O90" i="5"/>
  <c r="N90" i="5"/>
  <c r="T90" i="5"/>
  <c r="R88" i="5"/>
  <c r="I88" i="5"/>
  <c r="Y88" i="5" s="1"/>
  <c r="S88" i="5"/>
  <c r="P88" i="5"/>
  <c r="N88" i="5"/>
  <c r="O88" i="5"/>
  <c r="T88" i="5"/>
  <c r="R86" i="5"/>
  <c r="I86" i="5"/>
  <c r="Y86" i="5" s="1"/>
  <c r="S86" i="5"/>
  <c r="T86" i="5"/>
  <c r="P86" i="5"/>
  <c r="O86" i="5"/>
  <c r="N86" i="5"/>
  <c r="AB46" i="4"/>
  <c r="AA46" i="4"/>
  <c r="AA42" i="4"/>
  <c r="H183" i="5"/>
  <c r="H250" i="5" s="1"/>
  <c r="H127" i="6"/>
  <c r="AF127" i="6" s="1"/>
  <c r="R88" i="6"/>
  <c r="I88" i="6"/>
  <c r="Y88" i="6" s="1"/>
  <c r="T88" i="6"/>
  <c r="S88" i="6"/>
  <c r="P88" i="6"/>
  <c r="N88" i="6"/>
  <c r="AD88" i="6" s="1"/>
  <c r="R84" i="6"/>
  <c r="I84" i="6"/>
  <c r="Y84" i="6" s="1"/>
  <c r="P84" i="6"/>
  <c r="N84" i="6"/>
  <c r="AD84" i="6" s="1"/>
  <c r="T84" i="6"/>
  <c r="S84" i="6"/>
  <c r="R80" i="6"/>
  <c r="I80" i="6"/>
  <c r="Y80" i="6" s="1"/>
  <c r="T80" i="6"/>
  <c r="S80" i="6"/>
  <c r="P80" i="6"/>
  <c r="N80" i="6"/>
  <c r="AD80" i="6" s="1"/>
  <c r="R76" i="6"/>
  <c r="I76" i="6"/>
  <c r="Y76" i="6" s="1"/>
  <c r="P76" i="6"/>
  <c r="N76" i="6"/>
  <c r="AD76" i="6" s="1"/>
  <c r="T76" i="6"/>
  <c r="S76" i="6"/>
  <c r="R72" i="6"/>
  <c r="I72" i="6"/>
  <c r="Y72" i="6" s="1"/>
  <c r="T72" i="6"/>
  <c r="S72" i="6"/>
  <c r="P72" i="6"/>
  <c r="N72" i="6"/>
  <c r="AD72" i="6" s="1"/>
  <c r="R68" i="6"/>
  <c r="I68" i="6"/>
  <c r="Y68" i="6" s="1"/>
  <c r="P68" i="6"/>
  <c r="N68" i="6"/>
  <c r="AD68" i="6" s="1"/>
  <c r="T68" i="6"/>
  <c r="S68" i="6"/>
  <c r="R64" i="6"/>
  <c r="I64" i="6"/>
  <c r="Y64" i="6" s="1"/>
  <c r="T64" i="6"/>
  <c r="S64" i="6"/>
  <c r="P64" i="6"/>
  <c r="N64" i="6"/>
  <c r="AD64" i="6" s="1"/>
  <c r="R66" i="4"/>
  <c r="I66" i="4"/>
  <c r="P66" i="4"/>
  <c r="T66" i="4"/>
  <c r="S66" i="4"/>
  <c r="N66" i="4"/>
  <c r="AD66" i="4" s="1"/>
  <c r="I30" i="2"/>
  <c r="H71" i="2"/>
  <c r="P146" i="9"/>
  <c r="P142" i="9"/>
  <c r="P138" i="9"/>
  <c r="P134" i="9"/>
  <c r="P130" i="9"/>
  <c r="P126" i="9"/>
  <c r="P122" i="9"/>
  <c r="P118" i="9"/>
  <c r="P114" i="9"/>
  <c r="P110" i="9"/>
  <c r="P106" i="9"/>
  <c r="P102" i="9"/>
  <c r="P98" i="9"/>
  <c r="P94" i="9"/>
  <c r="P90" i="9"/>
  <c r="P86" i="9"/>
  <c r="P82" i="9"/>
  <c r="P78" i="9"/>
  <c r="P74" i="9"/>
  <c r="P70" i="9"/>
  <c r="P66" i="9"/>
  <c r="P62" i="9"/>
  <c r="P58" i="9"/>
  <c r="P54" i="9"/>
  <c r="P50" i="9"/>
  <c r="P46" i="9"/>
  <c r="P42" i="9"/>
  <c r="P38" i="9"/>
  <c r="P34" i="9"/>
  <c r="P30" i="9"/>
  <c r="P26" i="9"/>
  <c r="P22" i="9"/>
  <c r="P18" i="9"/>
  <c r="P135" i="9"/>
  <c r="P99" i="9"/>
  <c r="P87" i="9"/>
  <c r="P75" i="9"/>
  <c r="P63" i="9"/>
  <c r="P51" i="9"/>
  <c r="P39" i="9"/>
  <c r="P23" i="9"/>
  <c r="P145" i="9"/>
  <c r="P141" i="9"/>
  <c r="P137" i="9"/>
  <c r="P133" i="9"/>
  <c r="P129" i="9"/>
  <c r="P125" i="9"/>
  <c r="P121" i="9"/>
  <c r="P117" i="9"/>
  <c r="P113" i="9"/>
  <c r="P109" i="9"/>
  <c r="P105" i="9"/>
  <c r="P101" i="9"/>
  <c r="P97" i="9"/>
  <c r="P93" i="9"/>
  <c r="P89" i="9"/>
  <c r="P85" i="9"/>
  <c r="P81" i="9"/>
  <c r="P77" i="9"/>
  <c r="P73" i="9"/>
  <c r="P69" i="9"/>
  <c r="P65" i="9"/>
  <c r="P61" i="9"/>
  <c r="P57" i="9"/>
  <c r="P53" i="9"/>
  <c r="P49" i="9"/>
  <c r="P45" i="9"/>
  <c r="P41" i="9"/>
  <c r="P37" i="9"/>
  <c r="P33" i="9"/>
  <c r="P29" i="9"/>
  <c r="P25" i="9"/>
  <c r="P21" i="9"/>
  <c r="P17" i="9"/>
  <c r="P139" i="9"/>
  <c r="P131" i="9"/>
  <c r="P123" i="9"/>
  <c r="P115" i="9"/>
  <c r="P107" i="9"/>
  <c r="P95" i="9"/>
  <c r="P83" i="9"/>
  <c r="P71" i="9"/>
  <c r="P59" i="9"/>
  <c r="P47" i="9"/>
  <c r="P35" i="9"/>
  <c r="P27" i="9"/>
  <c r="P15" i="9"/>
  <c r="P144" i="9"/>
  <c r="P140" i="9"/>
  <c r="P136" i="9"/>
  <c r="P132" i="9"/>
  <c r="P128" i="9"/>
  <c r="P124" i="9"/>
  <c r="P120" i="9"/>
  <c r="P116" i="9"/>
  <c r="P112" i="9"/>
  <c r="P108" i="9"/>
  <c r="P104" i="9"/>
  <c r="P100" i="9"/>
  <c r="P96" i="9"/>
  <c r="P92" i="9"/>
  <c r="P88" i="9"/>
  <c r="P84" i="9"/>
  <c r="P80" i="9"/>
  <c r="P76" i="9"/>
  <c r="P72" i="9"/>
  <c r="P68" i="9"/>
  <c r="P64" i="9"/>
  <c r="P60" i="9"/>
  <c r="P56" i="9"/>
  <c r="P52" i="9"/>
  <c r="P48" i="9"/>
  <c r="P44" i="9"/>
  <c r="P40" i="9"/>
  <c r="P36" i="9"/>
  <c r="P32" i="9"/>
  <c r="P28" i="9"/>
  <c r="P24" i="9"/>
  <c r="P20" i="9"/>
  <c r="P16" i="9"/>
  <c r="P143" i="9"/>
  <c r="P127" i="9"/>
  <c r="P119" i="9"/>
  <c r="P111" i="9"/>
  <c r="P103" i="9"/>
  <c r="P91" i="9"/>
  <c r="P79" i="9"/>
  <c r="P67" i="9"/>
  <c r="P55" i="9"/>
  <c r="P43" i="9"/>
  <c r="P31" i="9"/>
  <c r="P19" i="9"/>
  <c r="F53" i="2"/>
  <c r="G53" i="2" s="1"/>
  <c r="H53" i="2" s="1"/>
  <c r="I53" i="2" s="1"/>
  <c r="J53" i="2" s="1"/>
  <c r="K53" i="2" s="1"/>
  <c r="L53" i="2" s="1"/>
  <c r="F19" i="2"/>
  <c r="I28" i="3"/>
  <c r="H28" i="3"/>
  <c r="N14" i="9"/>
  <c r="P14" i="9" s="1"/>
  <c r="R85" i="5"/>
  <c r="I85" i="5"/>
  <c r="Y85" i="5" s="1"/>
  <c r="N85" i="5"/>
  <c r="N59" i="6"/>
  <c r="AD59" i="6" s="1"/>
  <c r="I84" i="5"/>
  <c r="Y84" i="5" s="1"/>
  <c r="N84" i="5"/>
  <c r="Y38" i="4"/>
  <c r="N38" i="4"/>
  <c r="AD38" i="4" s="1"/>
  <c r="N60" i="6"/>
  <c r="AD60" i="6" s="1"/>
  <c r="AK93" i="5"/>
  <c r="AL93" i="5" s="1"/>
  <c r="AM93" i="5" s="1"/>
  <c r="AI103" i="5"/>
  <c r="J123" i="6"/>
  <c r="J111" i="6"/>
  <c r="J153" i="6" s="1"/>
  <c r="AI84" i="5"/>
  <c r="AJ84" i="5" s="1"/>
  <c r="AK84" i="5" s="1"/>
  <c r="AL84" i="5" s="1"/>
  <c r="AM84" i="5" s="1"/>
  <c r="H219" i="5"/>
  <c r="AK103" i="5"/>
  <c r="AL103" i="5" s="1"/>
  <c r="AM103" i="5" s="1"/>
  <c r="AI93" i="5"/>
  <c r="AJ93" i="5" s="1"/>
  <c r="AK120" i="5"/>
  <c r="AL120" i="5" s="1"/>
  <c r="AM120" i="5" s="1"/>
  <c r="AK88" i="5"/>
  <c r="AL88" i="5" s="1"/>
  <c r="AM88" i="5" s="1"/>
  <c r="AI90" i="5"/>
  <c r="AJ90" i="5" s="1"/>
  <c r="AK86" i="5"/>
  <c r="AL86" i="5" s="1"/>
  <c r="AM86" i="5" s="1"/>
  <c r="E161" i="5"/>
  <c r="E228" i="5" s="1"/>
  <c r="E295" i="5" s="1"/>
  <c r="E362" i="5" s="1"/>
  <c r="E429" i="5" s="1"/>
  <c r="F119" i="6"/>
  <c r="F161" i="6" s="1"/>
  <c r="AG161" i="6" s="1"/>
  <c r="AH161" i="6" s="1"/>
  <c r="AI86" i="5"/>
  <c r="AJ86" i="5" s="1"/>
  <c r="F155" i="5"/>
  <c r="AG155" i="5" s="1"/>
  <c r="AH155" i="5" s="1"/>
  <c r="H85" i="4"/>
  <c r="E154" i="6"/>
  <c r="E87" i="4"/>
  <c r="J149" i="6"/>
  <c r="H118" i="6"/>
  <c r="H114" i="6"/>
  <c r="J126" i="6"/>
  <c r="J110" i="6"/>
  <c r="J205" i="5"/>
  <c r="J203" i="5"/>
  <c r="J201" i="5"/>
  <c r="J199" i="5"/>
  <c r="J197" i="5"/>
  <c r="J195" i="5"/>
  <c r="J193" i="5"/>
  <c r="J260" i="5" s="1"/>
  <c r="J191" i="5"/>
  <c r="J189" i="5"/>
  <c r="J187" i="5"/>
  <c r="J185" i="5"/>
  <c r="J183" i="5"/>
  <c r="J181" i="5"/>
  <c r="J179" i="5"/>
  <c r="J177" i="5"/>
  <c r="J175" i="5"/>
  <c r="J173" i="5"/>
  <c r="J171" i="5"/>
  <c r="J169" i="5"/>
  <c r="J167" i="5"/>
  <c r="J165" i="5"/>
  <c r="J163" i="5"/>
  <c r="J161" i="5"/>
  <c r="J159" i="5"/>
  <c r="J157" i="5"/>
  <c r="J155" i="5"/>
  <c r="E130" i="6"/>
  <c r="E118" i="6"/>
  <c r="E114" i="6"/>
  <c r="E106" i="6"/>
  <c r="J102" i="6"/>
  <c r="E197" i="5"/>
  <c r="E165" i="5"/>
  <c r="E157" i="5"/>
  <c r="E224" i="5" s="1"/>
  <c r="E63" i="4"/>
  <c r="E61" i="4"/>
  <c r="H117" i="6"/>
  <c r="AF117" i="6" s="1"/>
  <c r="J129" i="6"/>
  <c r="J125" i="6"/>
  <c r="J121" i="6"/>
  <c r="J117" i="6"/>
  <c r="J113" i="6"/>
  <c r="J109" i="6"/>
  <c r="J105" i="6"/>
  <c r="J91" i="4"/>
  <c r="E121" i="6"/>
  <c r="E117" i="6"/>
  <c r="E113" i="6"/>
  <c r="E109" i="6"/>
  <c r="E105" i="6"/>
  <c r="E147" i="6" s="1"/>
  <c r="E146" i="6"/>
  <c r="E310" i="5"/>
  <c r="E377" i="5" s="1"/>
  <c r="E444" i="5" s="1"/>
  <c r="E271" i="5"/>
  <c r="E338" i="5" s="1"/>
  <c r="E405" i="5" s="1"/>
  <c r="E472" i="5" s="1"/>
  <c r="H144" i="6"/>
  <c r="J128" i="6"/>
  <c r="J124" i="6"/>
  <c r="J120" i="6"/>
  <c r="J116" i="6"/>
  <c r="J112" i="6"/>
  <c r="J108" i="6"/>
  <c r="J104" i="6"/>
  <c r="J90" i="4"/>
  <c r="E158" i="6"/>
  <c r="J206" i="5"/>
  <c r="J202" i="5"/>
  <c r="J198" i="5"/>
  <c r="J194" i="5"/>
  <c r="J261" i="5" s="1"/>
  <c r="J190" i="5"/>
  <c r="J186" i="5"/>
  <c r="J182" i="5"/>
  <c r="J178" i="5"/>
  <c r="J174" i="5"/>
  <c r="J170" i="5"/>
  <c r="J166" i="5"/>
  <c r="J162" i="5"/>
  <c r="J158" i="5"/>
  <c r="F107" i="6"/>
  <c r="F149" i="6" s="1"/>
  <c r="AG149" i="6" s="1"/>
  <c r="AH149" i="6" s="1"/>
  <c r="E199" i="5"/>
  <c r="E266" i="5" s="1"/>
  <c r="E195" i="5"/>
  <c r="E191" i="5"/>
  <c r="E187" i="5"/>
  <c r="E254" i="5" s="1"/>
  <c r="E183" i="5"/>
  <c r="E179" i="5"/>
  <c r="E175" i="5"/>
  <c r="E171" i="5"/>
  <c r="E167" i="5"/>
  <c r="E163" i="5"/>
  <c r="E159" i="5"/>
  <c r="E226" i="5" s="1"/>
  <c r="E155" i="5"/>
  <c r="E222" i="5" s="1"/>
  <c r="J152" i="5"/>
  <c r="N152" i="5" s="1"/>
  <c r="E219" i="5"/>
  <c r="E144" i="6"/>
  <c r="E186" i="6" s="1"/>
  <c r="E228" i="6" s="1"/>
  <c r="E270" i="6" s="1"/>
  <c r="E312" i="6" s="1"/>
  <c r="H107" i="6"/>
  <c r="J119" i="6"/>
  <c r="J103" i="6"/>
  <c r="I103" i="6" s="1"/>
  <c r="E145" i="6"/>
  <c r="E127" i="6"/>
  <c r="E119" i="6"/>
  <c r="E115" i="6"/>
  <c r="E111" i="6"/>
  <c r="E107" i="6"/>
  <c r="E149" i="6" s="1"/>
  <c r="E198" i="5"/>
  <c r="E166" i="5"/>
  <c r="E233" i="5" s="1"/>
  <c r="E158" i="5"/>
  <c r="E225" i="5" s="1"/>
  <c r="J61" i="4"/>
  <c r="J48" i="4"/>
  <c r="F56" i="14" s="1"/>
  <c r="F42" i="14" s="1"/>
  <c r="J153" i="5"/>
  <c r="J220" i="5" s="1"/>
  <c r="E108" i="6"/>
  <c r="H112" i="6"/>
  <c r="AG70" i="6"/>
  <c r="AH70" i="6" s="1"/>
  <c r="J115" i="6"/>
  <c r="H123" i="6"/>
  <c r="R46" i="6"/>
  <c r="AG46" i="6"/>
  <c r="AH18" i="6"/>
  <c r="AH46" i="6" s="1"/>
  <c r="AG78" i="6"/>
  <c r="AH78" i="6" s="1"/>
  <c r="E110" i="6"/>
  <c r="H108" i="6"/>
  <c r="AF108" i="6" s="1"/>
  <c r="E126" i="6"/>
  <c r="AG59" i="6"/>
  <c r="AH59" i="6" s="1"/>
  <c r="F106" i="6"/>
  <c r="F148" i="6" s="1"/>
  <c r="F190" i="6" s="1"/>
  <c r="H122" i="6"/>
  <c r="AF122" i="6" s="1"/>
  <c r="F123" i="6"/>
  <c r="AG123" i="6" s="1"/>
  <c r="AH123" i="6" s="1"/>
  <c r="F163" i="6"/>
  <c r="AG121" i="6"/>
  <c r="AH121" i="6" s="1"/>
  <c r="F110" i="6"/>
  <c r="AG110" i="6" s="1"/>
  <c r="AH110" i="6" s="1"/>
  <c r="F126" i="6"/>
  <c r="F168" i="6" s="1"/>
  <c r="F210" i="6" s="1"/>
  <c r="F105" i="6"/>
  <c r="AG105" i="6" s="1"/>
  <c r="AH105" i="6" s="1"/>
  <c r="H124" i="6"/>
  <c r="AF124" i="6" s="1"/>
  <c r="H131" i="6"/>
  <c r="AF131" i="6" s="1"/>
  <c r="F109" i="6"/>
  <c r="AG109" i="6" s="1"/>
  <c r="AH109" i="6" s="1"/>
  <c r="H109" i="6"/>
  <c r="AF109" i="6" s="1"/>
  <c r="H111" i="6"/>
  <c r="AF111" i="6" s="1"/>
  <c r="AG119" i="6"/>
  <c r="AH119" i="6" s="1"/>
  <c r="E122" i="6"/>
  <c r="E164" i="6" s="1"/>
  <c r="H153" i="5"/>
  <c r="E263" i="5"/>
  <c r="H190" i="5"/>
  <c r="AM137" i="5"/>
  <c r="AM113" i="5"/>
  <c r="AM95" i="5"/>
  <c r="AM97" i="5"/>
  <c r="AM107" i="5"/>
  <c r="E223" i="5"/>
  <c r="H167" i="5"/>
  <c r="AM90" i="5"/>
  <c r="F204" i="5"/>
  <c r="F271" i="5" s="1"/>
  <c r="F338" i="5" s="1"/>
  <c r="F172" i="5"/>
  <c r="F239" i="5" s="1"/>
  <c r="AG239" i="5" s="1"/>
  <c r="AH239" i="5" s="1"/>
  <c r="H199" i="5"/>
  <c r="AM96" i="5"/>
  <c r="H174" i="5"/>
  <c r="H162" i="5"/>
  <c r="G153" i="5"/>
  <c r="G220" i="5" s="1"/>
  <c r="AK220" i="5" s="1"/>
  <c r="AL220" i="5" s="1"/>
  <c r="E247" i="5"/>
  <c r="E255" i="5"/>
  <c r="H155" i="5"/>
  <c r="H159" i="5"/>
  <c r="H163" i="5"/>
  <c r="H171" i="5"/>
  <c r="H175" i="5"/>
  <c r="H179" i="5"/>
  <c r="H187" i="5"/>
  <c r="H191" i="5"/>
  <c r="H195" i="5"/>
  <c r="H203" i="5"/>
  <c r="AG173" i="5"/>
  <c r="AH173" i="5" s="1"/>
  <c r="F240" i="5"/>
  <c r="AG240" i="5" s="1"/>
  <c r="AH240" i="5" s="1"/>
  <c r="AG91" i="5"/>
  <c r="AH91" i="5" s="1"/>
  <c r="F159" i="5"/>
  <c r="E206" i="5"/>
  <c r="E202" i="5"/>
  <c r="E190" i="5"/>
  <c r="E186" i="5"/>
  <c r="E182" i="5"/>
  <c r="E249" i="5" s="1"/>
  <c r="E178" i="5"/>
  <c r="E170" i="5"/>
  <c r="E162" i="5"/>
  <c r="E154" i="5"/>
  <c r="E194" i="5"/>
  <c r="E174" i="5"/>
  <c r="G205" i="5"/>
  <c r="G272" i="5" s="1"/>
  <c r="AI137" i="5"/>
  <c r="AJ137" i="5" s="1"/>
  <c r="G203" i="5"/>
  <c r="AK203" i="5" s="1"/>
  <c r="AL203" i="5" s="1"/>
  <c r="AK135" i="5"/>
  <c r="AL135" i="5" s="1"/>
  <c r="AM135" i="5" s="1"/>
  <c r="G201" i="5"/>
  <c r="AI133" i="5"/>
  <c r="AJ133" i="5" s="1"/>
  <c r="AK133" i="5"/>
  <c r="AL133" i="5" s="1"/>
  <c r="AM133" i="5" s="1"/>
  <c r="G199" i="5"/>
  <c r="AK199" i="5" s="1"/>
  <c r="AL199" i="5" s="1"/>
  <c r="AI131" i="5"/>
  <c r="AJ131" i="5" s="1"/>
  <c r="AK131" i="5"/>
  <c r="AL131" i="5" s="1"/>
  <c r="AM131" i="5" s="1"/>
  <c r="G197" i="5"/>
  <c r="AI129" i="5"/>
  <c r="AJ129" i="5" s="1"/>
  <c r="AK129" i="5"/>
  <c r="AL129" i="5" s="1"/>
  <c r="AM129" i="5" s="1"/>
  <c r="G195" i="5"/>
  <c r="AK127" i="5"/>
  <c r="AL127" i="5" s="1"/>
  <c r="AM127" i="5" s="1"/>
  <c r="AI127" i="5"/>
  <c r="AJ127" i="5" s="1"/>
  <c r="G193" i="5"/>
  <c r="AK125" i="5"/>
  <c r="AL125" i="5" s="1"/>
  <c r="AM125" i="5" s="1"/>
  <c r="G191" i="5"/>
  <c r="AI123" i="5"/>
  <c r="AJ123" i="5" s="1"/>
  <c r="AK123" i="5"/>
  <c r="AL123" i="5" s="1"/>
  <c r="AM123" i="5" s="1"/>
  <c r="G189" i="5"/>
  <c r="AI121" i="5"/>
  <c r="AJ121" i="5" s="1"/>
  <c r="AK121" i="5"/>
  <c r="AL121" i="5" s="1"/>
  <c r="AM121" i="5" s="1"/>
  <c r="G187" i="5"/>
  <c r="AK119" i="5"/>
  <c r="AL119" i="5" s="1"/>
  <c r="AM119" i="5" s="1"/>
  <c r="G185" i="5"/>
  <c r="AK117" i="5"/>
  <c r="AL117" i="5" s="1"/>
  <c r="AM117" i="5" s="1"/>
  <c r="AI117" i="5"/>
  <c r="AJ117" i="5" s="1"/>
  <c r="G183" i="5"/>
  <c r="AK115" i="5"/>
  <c r="AL115" i="5" s="1"/>
  <c r="AM115" i="5" s="1"/>
  <c r="AI115" i="5"/>
  <c r="AJ115" i="5" s="1"/>
  <c r="G181" i="5"/>
  <c r="G248" i="5" s="1"/>
  <c r="AI113" i="5"/>
  <c r="AJ113" i="5" s="1"/>
  <c r="G179" i="5"/>
  <c r="AI111" i="5"/>
  <c r="AJ111" i="5" s="1"/>
  <c r="AK111" i="5"/>
  <c r="AL111" i="5" s="1"/>
  <c r="AM111" i="5" s="1"/>
  <c r="G177" i="5"/>
  <c r="G244" i="5" s="1"/>
  <c r="AK109" i="5"/>
  <c r="AL109" i="5" s="1"/>
  <c r="AM109" i="5" s="1"/>
  <c r="G175" i="5"/>
  <c r="AI107" i="5"/>
  <c r="AJ107" i="5" s="1"/>
  <c r="G173" i="5"/>
  <c r="AI105" i="5"/>
  <c r="AJ105" i="5" s="1"/>
  <c r="AK105" i="5"/>
  <c r="AL105" i="5" s="1"/>
  <c r="AM105" i="5" s="1"/>
  <c r="G169" i="5"/>
  <c r="AK169" i="5" s="1"/>
  <c r="AL169" i="5" s="1"/>
  <c r="AI101" i="5"/>
  <c r="AJ101" i="5" s="1"/>
  <c r="AK101" i="5"/>
  <c r="AL101" i="5" s="1"/>
  <c r="AM101" i="5" s="1"/>
  <c r="G167" i="5"/>
  <c r="G234" i="5" s="1"/>
  <c r="AK99" i="5"/>
  <c r="AL99" i="5" s="1"/>
  <c r="AM99" i="5" s="1"/>
  <c r="AI99" i="5"/>
  <c r="AJ99" i="5" s="1"/>
  <c r="G165" i="5"/>
  <c r="AI165" i="5" s="1"/>
  <c r="AJ165" i="5" s="1"/>
  <c r="AI97" i="5"/>
  <c r="AJ97" i="5" s="1"/>
  <c r="G163" i="5"/>
  <c r="AK163" i="5" s="1"/>
  <c r="AL163" i="5" s="1"/>
  <c r="AI95" i="5"/>
  <c r="AJ95" i="5" s="1"/>
  <c r="AK161" i="5"/>
  <c r="AL161" i="5" s="1"/>
  <c r="G228" i="5"/>
  <c r="AK228" i="5" s="1"/>
  <c r="AL228" i="5" s="1"/>
  <c r="G159" i="5"/>
  <c r="AI91" i="5"/>
  <c r="AJ91" i="5" s="1"/>
  <c r="AK91" i="5"/>
  <c r="AL91" i="5" s="1"/>
  <c r="AM91" i="5" s="1"/>
  <c r="G157" i="5"/>
  <c r="AI157" i="5" s="1"/>
  <c r="AJ157" i="5" s="1"/>
  <c r="AI89" i="5"/>
  <c r="AJ89" i="5" s="1"/>
  <c r="AK89" i="5"/>
  <c r="AL89" i="5" s="1"/>
  <c r="AM89" i="5" s="1"/>
  <c r="G155" i="5"/>
  <c r="AK155" i="5" s="1"/>
  <c r="AL155" i="5" s="1"/>
  <c r="AK87" i="5"/>
  <c r="AL87" i="5" s="1"/>
  <c r="AM87" i="5" s="1"/>
  <c r="AK85" i="5"/>
  <c r="AL85" i="5" s="1"/>
  <c r="AM85" i="5" s="1"/>
  <c r="F188" i="5"/>
  <c r="J62" i="4"/>
  <c r="E62" i="4"/>
  <c r="E84" i="4" s="1"/>
  <c r="H61" i="4"/>
  <c r="AF61" i="4" s="1"/>
  <c r="H65" i="4"/>
  <c r="H67" i="4"/>
  <c r="E67" i="4"/>
  <c r="E89" i="4" s="1"/>
  <c r="H70" i="4"/>
  <c r="H68" i="4"/>
  <c r="I169" i="3"/>
  <c r="F61" i="4"/>
  <c r="AG61" i="4" s="1"/>
  <c r="AH61" i="4" s="1"/>
  <c r="AJ106" i="5"/>
  <c r="F70" i="4"/>
  <c r="AG70" i="4" s="1"/>
  <c r="AH70" i="4" s="1"/>
  <c r="E68" i="4"/>
  <c r="AJ130" i="5"/>
  <c r="D90" i="4"/>
  <c r="D112" i="4" s="1"/>
  <c r="D134" i="4" s="1"/>
  <c r="D156" i="4" s="1"/>
  <c r="D178" i="4" s="1"/>
  <c r="G83" i="4"/>
  <c r="G105" i="4" s="1"/>
  <c r="G127" i="4" s="1"/>
  <c r="G149" i="4" s="1"/>
  <c r="G171" i="4" s="1"/>
  <c r="D85" i="4"/>
  <c r="D107" i="4" s="1"/>
  <c r="D129" i="4" s="1"/>
  <c r="D151" i="4" s="1"/>
  <c r="D173" i="4" s="1"/>
  <c r="G87" i="4"/>
  <c r="G109" i="4" s="1"/>
  <c r="G131" i="4" s="1"/>
  <c r="G153" i="4" s="1"/>
  <c r="G175" i="4" s="1"/>
  <c r="D89" i="4"/>
  <c r="D111" i="4" s="1"/>
  <c r="D133" i="4" s="1"/>
  <c r="D155" i="4" s="1"/>
  <c r="D177" i="4" s="1"/>
  <c r="G91" i="4"/>
  <c r="G113" i="4" s="1"/>
  <c r="G135" i="4" s="1"/>
  <c r="G157" i="4" s="1"/>
  <c r="G179" i="4" s="1"/>
  <c r="J92" i="4"/>
  <c r="J88" i="4"/>
  <c r="F66" i="4"/>
  <c r="AG66" i="4" s="1"/>
  <c r="AH66" i="4" s="1"/>
  <c r="G84" i="4"/>
  <c r="G106" i="4" s="1"/>
  <c r="G128" i="4" s="1"/>
  <c r="G150" i="4" s="1"/>
  <c r="G172" i="4" s="1"/>
  <c r="G88" i="4"/>
  <c r="G110" i="4" s="1"/>
  <c r="G132" i="4" s="1"/>
  <c r="G154" i="4" s="1"/>
  <c r="G176" i="4" s="1"/>
  <c r="G92" i="4"/>
  <c r="G114" i="4" s="1"/>
  <c r="G136" i="4" s="1"/>
  <c r="G158" i="4" s="1"/>
  <c r="G180" i="4" s="1"/>
  <c r="D84" i="4"/>
  <c r="D106" i="4" s="1"/>
  <c r="D128" i="4" s="1"/>
  <c r="D150" i="4" s="1"/>
  <c r="D172" i="4" s="1"/>
  <c r="G86" i="4"/>
  <c r="G108" i="4" s="1"/>
  <c r="G130" i="4" s="1"/>
  <c r="G152" i="4" s="1"/>
  <c r="G174" i="4" s="1"/>
  <c r="D88" i="4"/>
  <c r="D110" i="4" s="1"/>
  <c r="D132" i="4" s="1"/>
  <c r="D154" i="4" s="1"/>
  <c r="D176" i="4" s="1"/>
  <c r="G90" i="4"/>
  <c r="G112" i="4" s="1"/>
  <c r="G134" i="4" s="1"/>
  <c r="G156" i="4" s="1"/>
  <c r="G178" i="4" s="1"/>
  <c r="D92" i="4"/>
  <c r="D114" i="4" s="1"/>
  <c r="D136" i="4" s="1"/>
  <c r="D158" i="4" s="1"/>
  <c r="D180" i="4" s="1"/>
  <c r="F62" i="4"/>
  <c r="AG62" i="4" s="1"/>
  <c r="AH62" i="4" s="1"/>
  <c r="E92" i="4"/>
  <c r="D86" i="4"/>
  <c r="D108" i="4" s="1"/>
  <c r="D130" i="4" s="1"/>
  <c r="D152" i="4" s="1"/>
  <c r="D174" i="4" s="1"/>
  <c r="E64" i="4"/>
  <c r="E88" i="4"/>
  <c r="E91" i="4"/>
  <c r="J87" i="4"/>
  <c r="D83" i="4"/>
  <c r="D105" i="4" s="1"/>
  <c r="D127" i="4" s="1"/>
  <c r="D149" i="4" s="1"/>
  <c r="D171" i="4" s="1"/>
  <c r="G85" i="4"/>
  <c r="G107" i="4" s="1"/>
  <c r="G129" i="4" s="1"/>
  <c r="G151" i="4" s="1"/>
  <c r="G173" i="4" s="1"/>
  <c r="D87" i="4"/>
  <c r="D109" i="4" s="1"/>
  <c r="D131" i="4" s="1"/>
  <c r="D153" i="4" s="1"/>
  <c r="D175" i="4" s="1"/>
  <c r="G89" i="4"/>
  <c r="G111" i="4" s="1"/>
  <c r="G133" i="4" s="1"/>
  <c r="G155" i="4" s="1"/>
  <c r="G177" i="4" s="1"/>
  <c r="D91" i="4"/>
  <c r="D113" i="4" s="1"/>
  <c r="D135" i="4" s="1"/>
  <c r="D157" i="4" s="1"/>
  <c r="D179" i="4" s="1"/>
  <c r="J86" i="4"/>
  <c r="AI152" i="5"/>
  <c r="AJ152" i="5" s="1"/>
  <c r="AK152" i="5" s="1"/>
  <c r="AL152" i="5" s="1"/>
  <c r="AK156" i="5"/>
  <c r="AL156" i="5" s="1"/>
  <c r="H271" i="5"/>
  <c r="H101" i="7"/>
  <c r="H10" i="7"/>
  <c r="I156" i="3"/>
  <c r="H10" i="3"/>
  <c r="AJ32" i="5"/>
  <c r="AJ18" i="5"/>
  <c r="AJ50" i="5"/>
  <c r="AJ66" i="5"/>
  <c r="AJ70" i="5"/>
  <c r="AJ119" i="5"/>
  <c r="AJ67" i="5"/>
  <c r="AJ35" i="5"/>
  <c r="AJ85" i="5"/>
  <c r="AJ64" i="5"/>
  <c r="AJ51" i="5"/>
  <c r="AJ56" i="5"/>
  <c r="AJ19" i="5"/>
  <c r="G25" i="11"/>
  <c r="AJ17" i="5"/>
  <c r="AJ118" i="5"/>
  <c r="I155" i="3"/>
  <c r="G17" i="11" s="1"/>
  <c r="I157" i="3"/>
  <c r="AJ87" i="5"/>
  <c r="AJ102" i="5"/>
  <c r="AJ122" i="5"/>
  <c r="AJ44" i="5"/>
  <c r="AJ40" i="5"/>
  <c r="AJ43" i="5"/>
  <c r="AJ47" i="5"/>
  <c r="AJ23" i="5"/>
  <c r="AJ38" i="5"/>
  <c r="AJ63" i="5"/>
  <c r="AJ39" i="5"/>
  <c r="AJ54" i="5"/>
  <c r="AJ24" i="5"/>
  <c r="AJ27" i="5"/>
  <c r="AJ109" i="5"/>
  <c r="AJ125" i="5"/>
  <c r="AJ98" i="5"/>
  <c r="AJ135" i="5"/>
  <c r="AJ114" i="5"/>
  <c r="AJ31" i="5"/>
  <c r="AJ62" i="5"/>
  <c r="AJ22" i="5"/>
  <c r="AJ36" i="5"/>
  <c r="AJ45" i="5"/>
  <c r="AJ16" i="5"/>
  <c r="AK16" i="5" s="1"/>
  <c r="AL16" i="5" s="1"/>
  <c r="AM16" i="5" s="1"/>
  <c r="AJ52" i="5"/>
  <c r="AJ34" i="5"/>
  <c r="AJ68" i="5"/>
  <c r="AJ30" i="5"/>
  <c r="E9" i="6"/>
  <c r="AJ134" i="5"/>
  <c r="AJ21" i="5"/>
  <c r="AJ25" i="5"/>
  <c r="AJ29" i="5"/>
  <c r="AJ33" i="5"/>
  <c r="AJ37" i="5"/>
  <c r="AJ41" i="5"/>
  <c r="AJ49" i="5"/>
  <c r="AJ53" i="5"/>
  <c r="AJ57" i="5"/>
  <c r="AJ61" i="5"/>
  <c r="AJ65" i="5"/>
  <c r="AJ69" i="5"/>
  <c r="AJ94" i="5"/>
  <c r="AJ126" i="5"/>
  <c r="AJ103" i="5"/>
  <c r="AJ138" i="5"/>
  <c r="AJ110" i="5"/>
  <c r="AJ20" i="5"/>
  <c r="AJ60" i="5"/>
  <c r="AJ55" i="5"/>
  <c r="AJ26" i="5"/>
  <c r="AJ59" i="5"/>
  <c r="AJ46" i="5"/>
  <c r="AJ42" i="5"/>
  <c r="AJ48" i="5"/>
  <c r="AJ58" i="5"/>
  <c r="AJ28" i="5"/>
  <c r="E52" i="6"/>
  <c r="AJ120" i="5"/>
  <c r="AJ88" i="5"/>
  <c r="I31" i="2"/>
  <c r="K38" i="3" s="1"/>
  <c r="AG81" i="6"/>
  <c r="AH81" i="6" s="1"/>
  <c r="F124" i="6"/>
  <c r="AG77" i="6"/>
  <c r="AH77" i="6" s="1"/>
  <c r="F120" i="6"/>
  <c r="AG73" i="6"/>
  <c r="F116" i="6"/>
  <c r="F158" i="6" s="1"/>
  <c r="AG158" i="6" s="1"/>
  <c r="AH158" i="6" s="1"/>
  <c r="AG69" i="6"/>
  <c r="AH69" i="6" s="1"/>
  <c r="F112" i="6"/>
  <c r="AG61" i="6"/>
  <c r="F104" i="6"/>
  <c r="AG133" i="5"/>
  <c r="AH133" i="5" s="1"/>
  <c r="F201" i="5"/>
  <c r="AG129" i="5"/>
  <c r="AH129" i="5" s="1"/>
  <c r="F197" i="5"/>
  <c r="AG197" i="5" s="1"/>
  <c r="AH197" i="5" s="1"/>
  <c r="AG125" i="5"/>
  <c r="AH125" i="5" s="1"/>
  <c r="F193" i="5"/>
  <c r="F260" i="5" s="1"/>
  <c r="AG260" i="5" s="1"/>
  <c r="AH260" i="5" s="1"/>
  <c r="AG121" i="5"/>
  <c r="AH121" i="5" s="1"/>
  <c r="F189" i="5"/>
  <c r="AG113" i="5"/>
  <c r="AH113" i="5" s="1"/>
  <c r="F181" i="5"/>
  <c r="AG109" i="5"/>
  <c r="AH109" i="5" s="1"/>
  <c r="F177" i="5"/>
  <c r="AG101" i="5"/>
  <c r="AH101" i="5" s="1"/>
  <c r="F169" i="5"/>
  <c r="AG169" i="5" s="1"/>
  <c r="AH169" i="5" s="1"/>
  <c r="AG97" i="5"/>
  <c r="AH97" i="5" s="1"/>
  <c r="F165" i="5"/>
  <c r="AG93" i="5"/>
  <c r="AH93" i="5" s="1"/>
  <c r="F161" i="5"/>
  <c r="AG89" i="5"/>
  <c r="AH89" i="5" s="1"/>
  <c r="F157" i="5"/>
  <c r="F153" i="5"/>
  <c r="F68" i="4"/>
  <c r="F64" i="4"/>
  <c r="AG64" i="4" s="1"/>
  <c r="AH64" i="4" s="1"/>
  <c r="E193" i="5"/>
  <c r="E181" i="5"/>
  <c r="E177" i="5"/>
  <c r="J72" i="3"/>
  <c r="K72" i="3" s="1"/>
  <c r="L72" i="3" s="1"/>
  <c r="M72" i="3" s="1"/>
  <c r="N72" i="3" s="1"/>
  <c r="I77" i="3"/>
  <c r="I20" i="12"/>
  <c r="J20" i="12" s="1"/>
  <c r="K20" i="12" s="1"/>
  <c r="H66" i="4"/>
  <c r="H64" i="4"/>
  <c r="H154" i="5"/>
  <c r="H158" i="5"/>
  <c r="H166" i="5"/>
  <c r="H170" i="5"/>
  <c r="H178" i="5"/>
  <c r="H182" i="5"/>
  <c r="H186" i="5"/>
  <c r="H194" i="5"/>
  <c r="H198" i="5"/>
  <c r="H202" i="5"/>
  <c r="H206" i="5"/>
  <c r="H128" i="6"/>
  <c r="AF128" i="6" s="1"/>
  <c r="H120" i="6"/>
  <c r="AF120" i="6" s="1"/>
  <c r="H116" i="6"/>
  <c r="AF116" i="6" s="1"/>
  <c r="H105" i="6"/>
  <c r="AF105" i="6" s="1"/>
  <c r="G24" i="13"/>
  <c r="G26" i="11"/>
  <c r="E125" i="6"/>
  <c r="F205" i="5"/>
  <c r="F272" i="5" s="1"/>
  <c r="AG272" i="5" s="1"/>
  <c r="AH272" i="5" s="1"/>
  <c r="F185" i="5"/>
  <c r="G255" i="5"/>
  <c r="AI255" i="5" s="1"/>
  <c r="AJ255" i="5" s="1"/>
  <c r="H239" i="5"/>
  <c r="F263" i="5"/>
  <c r="G206" i="5"/>
  <c r="G273" i="5" s="1"/>
  <c r="AK138" i="5"/>
  <c r="AL138" i="5" s="1"/>
  <c r="AM138" i="5" s="1"/>
  <c r="G204" i="5"/>
  <c r="AK136" i="5"/>
  <c r="AL136" i="5" s="1"/>
  <c r="AM136" i="5" s="1"/>
  <c r="AI136" i="5"/>
  <c r="AJ136" i="5" s="1"/>
  <c r="G202" i="5"/>
  <c r="AK202" i="5" s="1"/>
  <c r="AL202" i="5" s="1"/>
  <c r="AM202" i="5" s="1"/>
  <c r="AK134" i="5"/>
  <c r="AL134" i="5" s="1"/>
  <c r="AM134" i="5" s="1"/>
  <c r="G200" i="5"/>
  <c r="G267" i="5" s="1"/>
  <c r="AK132" i="5"/>
  <c r="AL132" i="5" s="1"/>
  <c r="AM132" i="5" s="1"/>
  <c r="AI132" i="5"/>
  <c r="AJ132" i="5" s="1"/>
  <c r="G198" i="5"/>
  <c r="AK130" i="5"/>
  <c r="AL130" i="5" s="1"/>
  <c r="AM130" i="5" s="1"/>
  <c r="G196" i="5"/>
  <c r="AK128" i="5"/>
  <c r="AL128" i="5" s="1"/>
  <c r="AM128" i="5" s="1"/>
  <c r="AI128" i="5"/>
  <c r="AJ128" i="5" s="1"/>
  <c r="G194" i="5"/>
  <c r="AK126" i="5"/>
  <c r="AL126" i="5" s="1"/>
  <c r="AM126" i="5" s="1"/>
  <c r="G192" i="5"/>
  <c r="AI124" i="5"/>
  <c r="AJ124" i="5" s="1"/>
  <c r="G190" i="5"/>
  <c r="AK122" i="5"/>
  <c r="AL122" i="5" s="1"/>
  <c r="AM122" i="5" s="1"/>
  <c r="G186" i="5"/>
  <c r="AK118" i="5"/>
  <c r="AL118" i="5" s="1"/>
  <c r="AM118" i="5" s="1"/>
  <c r="G184" i="5"/>
  <c r="AK184" i="5" s="1"/>
  <c r="AL184" i="5" s="1"/>
  <c r="AI116" i="5"/>
  <c r="AJ116" i="5" s="1"/>
  <c r="G182" i="5"/>
  <c r="AK114" i="5"/>
  <c r="AL114" i="5" s="1"/>
  <c r="AM114" i="5" s="1"/>
  <c r="AI112" i="5"/>
  <c r="AJ112" i="5" s="1"/>
  <c r="AK112" i="5"/>
  <c r="AL112" i="5" s="1"/>
  <c r="AM112" i="5" s="1"/>
  <c r="G178" i="5"/>
  <c r="AK110" i="5"/>
  <c r="AL110" i="5" s="1"/>
  <c r="AM110" i="5" s="1"/>
  <c r="G176" i="5"/>
  <c r="AK108" i="5"/>
  <c r="AL108" i="5" s="1"/>
  <c r="AM108" i="5" s="1"/>
  <c r="AI108" i="5"/>
  <c r="AJ108" i="5" s="1"/>
  <c r="G174" i="5"/>
  <c r="AK106" i="5"/>
  <c r="AL106" i="5" s="1"/>
  <c r="AM106" i="5" s="1"/>
  <c r="AK104" i="5"/>
  <c r="AL104" i="5" s="1"/>
  <c r="AM104" i="5" s="1"/>
  <c r="AI104" i="5"/>
  <c r="AJ104" i="5" s="1"/>
  <c r="G172" i="5"/>
  <c r="G170" i="5"/>
  <c r="AI170" i="5" s="1"/>
  <c r="AJ170" i="5" s="1"/>
  <c r="AK102" i="5"/>
  <c r="AL102" i="5" s="1"/>
  <c r="AM102" i="5" s="1"/>
  <c r="G168" i="5"/>
  <c r="G235" i="5" s="1"/>
  <c r="AK100" i="5"/>
  <c r="AL100" i="5" s="1"/>
  <c r="AM100" i="5" s="1"/>
  <c r="AI100" i="5"/>
  <c r="AJ100" i="5" s="1"/>
  <c r="G166" i="5"/>
  <c r="AI166" i="5" s="1"/>
  <c r="AJ166" i="5" s="1"/>
  <c r="AK98" i="5"/>
  <c r="AL98" i="5" s="1"/>
  <c r="AM98" i="5" s="1"/>
  <c r="G164" i="5"/>
  <c r="AI96" i="5"/>
  <c r="AJ96" i="5" s="1"/>
  <c r="G162" i="5"/>
  <c r="AI162" i="5" s="1"/>
  <c r="AJ162" i="5" s="1"/>
  <c r="AK94" i="5"/>
  <c r="AL94" i="5" s="1"/>
  <c r="AM94" i="5" s="1"/>
  <c r="G160" i="5"/>
  <c r="AK160" i="5" s="1"/>
  <c r="AL160" i="5" s="1"/>
  <c r="AI92" i="5"/>
  <c r="AJ92" i="5" s="1"/>
  <c r="AK92" i="5"/>
  <c r="AL92" i="5" s="1"/>
  <c r="AM92" i="5" s="1"/>
  <c r="G158" i="5"/>
  <c r="AH19" i="5"/>
  <c r="AH71" i="5" s="1"/>
  <c r="AG71" i="5"/>
  <c r="F128" i="6"/>
  <c r="F108" i="6"/>
  <c r="E137" i="6"/>
  <c r="H69" i="4"/>
  <c r="H223" i="5"/>
  <c r="AK180" i="5"/>
  <c r="AL180" i="5" s="1"/>
  <c r="G247" i="5"/>
  <c r="E239" i="5"/>
  <c r="E259" i="5"/>
  <c r="AI180" i="5"/>
  <c r="AJ180" i="5" s="1"/>
  <c r="H255" i="5"/>
  <c r="H160" i="5"/>
  <c r="H164" i="5"/>
  <c r="H176" i="5"/>
  <c r="H180" i="5"/>
  <c r="H192" i="5"/>
  <c r="H196" i="5"/>
  <c r="H130" i="6"/>
  <c r="AF130" i="6" s="1"/>
  <c r="H126" i="6"/>
  <c r="AF126" i="6" s="1"/>
  <c r="J131" i="6"/>
  <c r="J127" i="6"/>
  <c r="H62" i="4"/>
  <c r="E123" i="6"/>
  <c r="F125" i="6"/>
  <c r="F206" i="5"/>
  <c r="F198" i="5"/>
  <c r="F190" i="5"/>
  <c r="F182" i="5"/>
  <c r="F174" i="5"/>
  <c r="F166" i="5"/>
  <c r="F73" i="2"/>
  <c r="F78" i="2" s="1"/>
  <c r="E131" i="6"/>
  <c r="E153" i="5"/>
  <c r="F158" i="5"/>
  <c r="F69" i="4"/>
  <c r="H46" i="12"/>
  <c r="G39" i="16" s="1"/>
  <c r="H267" i="5"/>
  <c r="H235" i="5"/>
  <c r="H115" i="6"/>
  <c r="AF115" i="6" s="1"/>
  <c r="H104" i="6"/>
  <c r="AF104" i="6" s="1"/>
  <c r="H157" i="5"/>
  <c r="H165" i="5"/>
  <c r="H173" i="5"/>
  <c r="H181" i="5"/>
  <c r="H189" i="5"/>
  <c r="H197" i="5"/>
  <c r="H205" i="5"/>
  <c r="H110" i="6"/>
  <c r="AF110" i="6" s="1"/>
  <c r="H106" i="6"/>
  <c r="AF106" i="6" s="1"/>
  <c r="E235" i="5"/>
  <c r="H119" i="6"/>
  <c r="AF119" i="6" s="1"/>
  <c r="H125" i="6"/>
  <c r="AF125" i="6" s="1"/>
  <c r="I136" i="3"/>
  <c r="I46" i="12"/>
  <c r="H39" i="16" s="1"/>
  <c r="J44" i="12"/>
  <c r="K21" i="12"/>
  <c r="I25" i="13"/>
  <c r="F131" i="6"/>
  <c r="F173" i="6" s="1"/>
  <c r="F127" i="6"/>
  <c r="F117" i="6"/>
  <c r="F115" i="6"/>
  <c r="F111" i="6"/>
  <c r="F103" i="6"/>
  <c r="F202" i="5"/>
  <c r="F200" i="5"/>
  <c r="F194" i="5"/>
  <c r="F192" i="5"/>
  <c r="F186" i="5"/>
  <c r="F184" i="5"/>
  <c r="F178" i="5"/>
  <c r="F176" i="5"/>
  <c r="F170" i="5"/>
  <c r="F168" i="5"/>
  <c r="F162" i="5"/>
  <c r="F154" i="5"/>
  <c r="F65" i="4"/>
  <c r="H55" i="12"/>
  <c r="G40" i="16" s="1"/>
  <c r="E334" i="5"/>
  <c r="E401" i="5" s="1"/>
  <c r="E468" i="5" s="1"/>
  <c r="E251" i="5"/>
  <c r="H161" i="5"/>
  <c r="H169" i="5"/>
  <c r="H177" i="5"/>
  <c r="H185" i="5"/>
  <c r="H193" i="5"/>
  <c r="H201" i="5"/>
  <c r="H129" i="6"/>
  <c r="AF129" i="6" s="1"/>
  <c r="H121" i="6"/>
  <c r="AF121" i="6" s="1"/>
  <c r="H113" i="6"/>
  <c r="AF113" i="6" s="1"/>
  <c r="J130" i="6"/>
  <c r="J122" i="6"/>
  <c r="J118" i="6"/>
  <c r="J114" i="6"/>
  <c r="J106" i="6"/>
  <c r="G286" i="5"/>
  <c r="AG129" i="6"/>
  <c r="AH129" i="6" s="1"/>
  <c r="J67" i="4"/>
  <c r="J63" i="4"/>
  <c r="J204" i="5"/>
  <c r="J200" i="5"/>
  <c r="J196" i="5"/>
  <c r="J192" i="5"/>
  <c r="J188" i="5"/>
  <c r="J184" i="5"/>
  <c r="J180" i="5"/>
  <c r="J176" i="5"/>
  <c r="J172" i="5"/>
  <c r="J168" i="5"/>
  <c r="J164" i="5"/>
  <c r="J160" i="5"/>
  <c r="J156" i="5"/>
  <c r="J154" i="5"/>
  <c r="J139" i="5"/>
  <c r="G57" i="14" s="1"/>
  <c r="G43" i="14" s="1"/>
  <c r="E227" i="5"/>
  <c r="E172" i="6"/>
  <c r="E231" i="5"/>
  <c r="E270" i="5"/>
  <c r="J89" i="6"/>
  <c r="G58" i="14" s="1"/>
  <c r="G44" i="14" s="1"/>
  <c r="E173" i="5"/>
  <c r="E189" i="5"/>
  <c r="E205" i="5"/>
  <c r="F122" i="6"/>
  <c r="AM124" i="5"/>
  <c r="E169" i="5"/>
  <c r="E185" i="5"/>
  <c r="E201" i="5"/>
  <c r="E129" i="6"/>
  <c r="F118" i="6"/>
  <c r="F114" i="6"/>
  <c r="F203" i="5"/>
  <c r="F199" i="5"/>
  <c r="F195" i="5"/>
  <c r="F191" i="5"/>
  <c r="F187" i="5"/>
  <c r="F183" i="5"/>
  <c r="F179" i="5"/>
  <c r="F175" i="5"/>
  <c r="F171" i="5"/>
  <c r="F167" i="5"/>
  <c r="F163" i="5"/>
  <c r="AM116" i="5"/>
  <c r="F130" i="6"/>
  <c r="F160" i="5"/>
  <c r="F156" i="5"/>
  <c r="F152" i="5"/>
  <c r="F67" i="4"/>
  <c r="F63" i="4"/>
  <c r="E170" i="6"/>
  <c r="F144" i="6"/>
  <c r="F186" i="6" s="1"/>
  <c r="AG102" i="6"/>
  <c r="AH102" i="6" s="1"/>
  <c r="I44" i="2"/>
  <c r="T12" i="21"/>
  <c r="L18" i="21"/>
  <c r="T18" i="21" s="1"/>
  <c r="L114" i="3"/>
  <c r="E166" i="6"/>
  <c r="E162" i="6"/>
  <c r="I55" i="12"/>
  <c r="H40" i="16" s="1"/>
  <c r="J50" i="12"/>
  <c r="K50" i="12" s="1"/>
  <c r="K166" i="3"/>
  <c r="G58" i="16" s="1"/>
  <c r="F77" i="2"/>
  <c r="J166" i="3"/>
  <c r="F58" i="16" s="1"/>
  <c r="H200" i="7"/>
  <c r="F72" i="11" s="1"/>
  <c r="H193" i="7"/>
  <c r="F63" i="11" s="1"/>
  <c r="AI188" i="5"/>
  <c r="AJ188" i="5" s="1"/>
  <c r="E51" i="6"/>
  <c r="E95" i="6"/>
  <c r="F155" i="6"/>
  <c r="AG113" i="6"/>
  <c r="AH113" i="6" s="1"/>
  <c r="G221" i="5"/>
  <c r="G288" i="5" s="1"/>
  <c r="G355" i="5" s="1"/>
  <c r="G422" i="5" s="1"/>
  <c r="AK154" i="5"/>
  <c r="AL154" i="5" s="1"/>
  <c r="AI154" i="5"/>
  <c r="AJ154" i="5" s="1"/>
  <c r="R60" i="9"/>
  <c r="R82" i="9"/>
  <c r="R61" i="9"/>
  <c r="R28" i="9"/>
  <c r="R43" i="9"/>
  <c r="R141" i="9"/>
  <c r="R91" i="9"/>
  <c r="R102" i="9"/>
  <c r="R99" i="9"/>
  <c r="R132" i="9"/>
  <c r="R50" i="9"/>
  <c r="R69" i="9"/>
  <c r="R63" i="9"/>
  <c r="R29" i="9"/>
  <c r="R122" i="9"/>
  <c r="R111" i="9"/>
  <c r="R104" i="9"/>
  <c r="R54" i="9"/>
  <c r="R48" i="9"/>
  <c r="R46" i="9"/>
  <c r="R79" i="9"/>
  <c r="R109" i="9"/>
  <c r="R118" i="9"/>
  <c r="R135" i="9"/>
  <c r="R62" i="9"/>
  <c r="R72" i="9"/>
  <c r="R32" i="9"/>
  <c r="R49" i="9"/>
  <c r="U7" i="9"/>
  <c r="R37" i="9"/>
  <c r="R24" i="9"/>
  <c r="R121" i="9"/>
  <c r="R106" i="9"/>
  <c r="R92" i="9"/>
  <c r="R77" i="9"/>
  <c r="R26" i="9"/>
  <c r="R80" i="9"/>
  <c r="R20" i="9"/>
  <c r="R101" i="9"/>
  <c r="R110" i="9"/>
  <c r="R139" i="9"/>
  <c r="R136" i="9"/>
  <c r="R90" i="9"/>
  <c r="R40" i="9"/>
  <c r="R35" i="9"/>
  <c r="R55" i="9"/>
  <c r="R134" i="9"/>
  <c r="R115" i="9"/>
  <c r="R116" i="9"/>
  <c r="R23" i="9"/>
  <c r="R21" i="9"/>
  <c r="R85" i="9"/>
  <c r="R39" i="9"/>
  <c r="R133" i="9"/>
  <c r="R138" i="9"/>
  <c r="R95" i="9"/>
  <c r="R112" i="9"/>
  <c r="R25" i="9"/>
  <c r="R31" i="9"/>
  <c r="R44" i="9"/>
  <c r="R38" i="9"/>
  <c r="R30" i="9"/>
  <c r="R57" i="9"/>
  <c r="R125" i="9"/>
  <c r="R130" i="9"/>
  <c r="R107" i="9"/>
  <c r="R52" i="9"/>
  <c r="R71" i="9"/>
  <c r="R45" i="9"/>
  <c r="R83" i="9"/>
  <c r="R78" i="9"/>
  <c r="R113" i="9"/>
  <c r="R126" i="9"/>
  <c r="R87" i="9"/>
  <c r="R140" i="9"/>
  <c r="R100" i="9"/>
  <c r="R42" i="9"/>
  <c r="R34" i="9"/>
  <c r="R81" i="9"/>
  <c r="R129" i="9"/>
  <c r="R127" i="9"/>
  <c r="R120" i="9"/>
  <c r="R97" i="9"/>
  <c r="Z7" i="9"/>
  <c r="R76" i="9"/>
  <c r="R66" i="9"/>
  <c r="R143" i="9"/>
  <c r="R144" i="9"/>
  <c r="R98" i="9"/>
  <c r="R103" i="9"/>
  <c r="R84" i="9"/>
  <c r="R75" i="9"/>
  <c r="R53" i="9"/>
  <c r="R33" i="9"/>
  <c r="R137" i="9"/>
  <c r="R94" i="9"/>
  <c r="R123" i="9"/>
  <c r="R108" i="9"/>
  <c r="R59" i="9"/>
  <c r="R36" i="9"/>
  <c r="R58" i="9"/>
  <c r="R47" i="9"/>
  <c r="R117" i="9"/>
  <c r="R142" i="9"/>
  <c r="R146" i="9"/>
  <c r="R96" i="9"/>
  <c r="R128" i="9"/>
  <c r="R27" i="9"/>
  <c r="R74" i="9"/>
  <c r="R19" i="9"/>
  <c r="T7" i="9"/>
  <c r="R68" i="9"/>
  <c r="R56" i="9"/>
  <c r="R51" i="9"/>
  <c r="R70" i="9"/>
  <c r="R145" i="9"/>
  <c r="R124" i="9"/>
  <c r="R93" i="9"/>
  <c r="R65" i="9"/>
  <c r="R67" i="9"/>
  <c r="S7" i="9"/>
  <c r="S17" i="9" s="1"/>
  <c r="R88" i="9"/>
  <c r="R114" i="9"/>
  <c r="R119" i="9"/>
  <c r="R86" i="9"/>
  <c r="R73" i="9"/>
  <c r="R41" i="9"/>
  <c r="R64" i="9"/>
  <c r="R22" i="9"/>
  <c r="R105" i="9"/>
  <c r="R131" i="9"/>
  <c r="R89" i="9"/>
  <c r="J168" i="6"/>
  <c r="J256" i="5"/>
  <c r="AI171" i="5"/>
  <c r="AJ171" i="5" s="1"/>
  <c r="AK171" i="5"/>
  <c r="AL171" i="5" s="1"/>
  <c r="G238" i="5"/>
  <c r="AH88" i="5"/>
  <c r="AJ161" i="5"/>
  <c r="AJ219" i="5"/>
  <c r="AK219" i="5" s="1"/>
  <c r="AL219" i="5" s="1"/>
  <c r="R15" i="9"/>
  <c r="R17" i="9"/>
  <c r="R18" i="9"/>
  <c r="F39" i="10" s="1"/>
  <c r="R16" i="9"/>
  <c r="AH64" i="6"/>
  <c r="AH71" i="6"/>
  <c r="AH60" i="6"/>
  <c r="AH76" i="6"/>
  <c r="AH66" i="6"/>
  <c r="K90" i="3"/>
  <c r="K157" i="3" s="1"/>
  <c r="J157" i="3"/>
  <c r="K70" i="3"/>
  <c r="K77" i="3" s="1"/>
  <c r="J136" i="3"/>
  <c r="J156" i="3"/>
  <c r="K89" i="3"/>
  <c r="I166" i="3"/>
  <c r="G40" i="2"/>
  <c r="G47" i="2" s="1"/>
  <c r="G39" i="2"/>
  <c r="AH65" i="6"/>
  <c r="AH62" i="6"/>
  <c r="AG171" i="6"/>
  <c r="AH171" i="6" s="1"/>
  <c r="G24" i="10"/>
  <c r="F306" i="5" l="1"/>
  <c r="F247" i="5"/>
  <c r="F314" i="5" s="1"/>
  <c r="AA44" i="4"/>
  <c r="AD116" i="5"/>
  <c r="AD89" i="5"/>
  <c r="Y103" i="6"/>
  <c r="AB103" i="6" s="1"/>
  <c r="H145" i="6"/>
  <c r="AF145" i="6" s="1"/>
  <c r="F25" i="16"/>
  <c r="K70" i="14"/>
  <c r="G29" i="13"/>
  <c r="P13" i="9"/>
  <c r="P11" i="9" s="1"/>
  <c r="F31" i="16"/>
  <c r="K77" i="14"/>
  <c r="H77" i="14"/>
  <c r="H159" i="6"/>
  <c r="AF159" i="6" s="1"/>
  <c r="G77" i="14"/>
  <c r="U15" i="9"/>
  <c r="X7" i="9"/>
  <c r="I24" i="13"/>
  <c r="H169" i="6"/>
  <c r="AF169" i="6" s="1"/>
  <c r="AD112" i="5"/>
  <c r="AB41" i="4"/>
  <c r="AC41" i="4" s="1"/>
  <c r="K27" i="3"/>
  <c r="K28" i="3" s="1"/>
  <c r="H46" i="16"/>
  <c r="AJ156" i="5"/>
  <c r="AK422" i="5"/>
  <c r="AL422" i="5" s="1"/>
  <c r="AI422" i="5"/>
  <c r="AJ422" i="5"/>
  <c r="G223" i="5"/>
  <c r="AK223" i="5" s="1"/>
  <c r="AL223" i="5" s="1"/>
  <c r="K76" i="14"/>
  <c r="F30" i="16"/>
  <c r="AG255" i="6"/>
  <c r="AH255" i="6" s="1"/>
  <c r="F297" i="6"/>
  <c r="AG148" i="6"/>
  <c r="AH148" i="6" s="1"/>
  <c r="AA43" i="4"/>
  <c r="AC43" i="4" s="1"/>
  <c r="AA47" i="4"/>
  <c r="AC47" i="4" s="1"/>
  <c r="H73" i="2"/>
  <c r="H78" i="2" s="1"/>
  <c r="J16" i="7"/>
  <c r="H40" i="2"/>
  <c r="H47" i="2" s="1"/>
  <c r="J44" i="2"/>
  <c r="J27" i="7"/>
  <c r="AK355" i="5"/>
  <c r="AL355" i="5" s="1"/>
  <c r="AI355" i="5"/>
  <c r="AJ355" i="5" s="1"/>
  <c r="AF185" i="5"/>
  <c r="AF189" i="5"/>
  <c r="AF235" i="5"/>
  <c r="AF192" i="5"/>
  <c r="AF198" i="5"/>
  <c r="H221" i="5"/>
  <c r="H288" i="5" s="1"/>
  <c r="AF154" i="5"/>
  <c r="AF68" i="4"/>
  <c r="Y68" i="4"/>
  <c r="AF163" i="5"/>
  <c r="H220" i="5"/>
  <c r="H287" i="5" s="1"/>
  <c r="AF153" i="5"/>
  <c r="H165" i="6"/>
  <c r="AF165" i="6" s="1"/>
  <c r="AF123" i="6"/>
  <c r="AD100" i="5"/>
  <c r="AD104" i="5"/>
  <c r="AD132" i="5"/>
  <c r="AD109" i="5"/>
  <c r="AB45" i="4"/>
  <c r="AC45" i="4" s="1"/>
  <c r="AG164" i="5"/>
  <c r="AH164" i="5" s="1"/>
  <c r="F231" i="5"/>
  <c r="AF201" i="5"/>
  <c r="AF177" i="5"/>
  <c r="AF181" i="5"/>
  <c r="AF251" i="5"/>
  <c r="AF180" i="5"/>
  <c r="AF194" i="5"/>
  <c r="AF64" i="4"/>
  <c r="Y64" i="4"/>
  <c r="AF70" i="4"/>
  <c r="Y70" i="4"/>
  <c r="AB70" i="4" s="1"/>
  <c r="AF203" i="5"/>
  <c r="AF159" i="5"/>
  <c r="AF199" i="5"/>
  <c r="AG210" i="6"/>
  <c r="AH210" i="6" s="1"/>
  <c r="F252" i="6"/>
  <c r="AF183" i="5"/>
  <c r="AD97" i="5"/>
  <c r="AD105" i="5"/>
  <c r="K55" i="12"/>
  <c r="J40" i="16" s="1"/>
  <c r="L50" i="12"/>
  <c r="L55" i="12" s="1"/>
  <c r="K40" i="16" s="1"/>
  <c r="AF169" i="5"/>
  <c r="AF173" i="5"/>
  <c r="AF267" i="5"/>
  <c r="AF62" i="4"/>
  <c r="Y62" i="4"/>
  <c r="AF176" i="5"/>
  <c r="AF186" i="5"/>
  <c r="AF66" i="4"/>
  <c r="Y66" i="4"/>
  <c r="AF195" i="5"/>
  <c r="H222" i="5"/>
  <c r="H289" i="5" s="1"/>
  <c r="AF155" i="5"/>
  <c r="H186" i="6"/>
  <c r="AF144" i="6"/>
  <c r="H156" i="6"/>
  <c r="AF156" i="6" s="1"/>
  <c r="AF114" i="6"/>
  <c r="AF219" i="5"/>
  <c r="AG186" i="6"/>
  <c r="AH186" i="6" s="1"/>
  <c r="F228" i="6"/>
  <c r="AF161" i="5"/>
  <c r="J25" i="13"/>
  <c r="L21" i="12"/>
  <c r="K25" i="13" s="1"/>
  <c r="AF165" i="5"/>
  <c r="AG306" i="5"/>
  <c r="AH306" i="5" s="1"/>
  <c r="F373" i="5"/>
  <c r="AF164" i="5"/>
  <c r="AF239" i="5"/>
  <c r="AF182" i="5"/>
  <c r="AF67" i="4"/>
  <c r="Y67" i="4"/>
  <c r="AF191" i="5"/>
  <c r="AG338" i="5"/>
  <c r="AH338" i="5" s="1"/>
  <c r="F405" i="5"/>
  <c r="H154" i="6"/>
  <c r="AF154" i="6" s="1"/>
  <c r="AF112" i="6"/>
  <c r="H149" i="6"/>
  <c r="AF149" i="6" s="1"/>
  <c r="AF107" i="6"/>
  <c r="H160" i="6"/>
  <c r="AF160" i="6" s="1"/>
  <c r="AF118" i="6"/>
  <c r="AD124" i="5"/>
  <c r="AF250" i="5"/>
  <c r="AF157" i="5"/>
  <c r="AF160" i="5"/>
  <c r="AF178" i="5"/>
  <c r="AF65" i="4"/>
  <c r="Y65" i="4"/>
  <c r="AB65" i="4" s="1"/>
  <c r="H254" i="5"/>
  <c r="AF187" i="5"/>
  <c r="AD92" i="5"/>
  <c r="AD96" i="5"/>
  <c r="AF255" i="5"/>
  <c r="AF223" i="5"/>
  <c r="AF170" i="5"/>
  <c r="AF179" i="5"/>
  <c r="AG314" i="5"/>
  <c r="AH314" i="5" s="1"/>
  <c r="F381" i="5"/>
  <c r="AF184" i="5"/>
  <c r="L166" i="3"/>
  <c r="H58" i="16" s="1"/>
  <c r="M114" i="3"/>
  <c r="AF205" i="5"/>
  <c r="AF69" i="4"/>
  <c r="Y69" i="4"/>
  <c r="AB69" i="4" s="1"/>
  <c r="AF206" i="5"/>
  <c r="AF166" i="5"/>
  <c r="H242" i="5"/>
  <c r="H309" i="5" s="1"/>
  <c r="AF175" i="5"/>
  <c r="AF162" i="5"/>
  <c r="AF167" i="5"/>
  <c r="AF190" i="5"/>
  <c r="AF63" i="4"/>
  <c r="Y63" i="4"/>
  <c r="AB63" i="4" s="1"/>
  <c r="Y107" i="6"/>
  <c r="AF193" i="5"/>
  <c r="J24" i="13"/>
  <c r="L20" i="12"/>
  <c r="K24" i="13" s="1"/>
  <c r="AF197" i="5"/>
  <c r="AF196" i="5"/>
  <c r="AF202" i="5"/>
  <c r="AF158" i="5"/>
  <c r="AF271" i="5"/>
  <c r="AF171" i="5"/>
  <c r="AF174" i="5"/>
  <c r="AG190" i="6"/>
  <c r="AH190" i="6" s="1"/>
  <c r="F232" i="6"/>
  <c r="AF85" i="4"/>
  <c r="Y85" i="4"/>
  <c r="L14" i="12"/>
  <c r="K38" i="13" s="1"/>
  <c r="J38" i="13"/>
  <c r="K28" i="7"/>
  <c r="K29" i="7"/>
  <c r="K37" i="3"/>
  <c r="K36" i="3"/>
  <c r="I21" i="3"/>
  <c r="I20" i="3"/>
  <c r="I19" i="3"/>
  <c r="R14" i="9"/>
  <c r="F37" i="10" s="1"/>
  <c r="H109" i="7" s="1"/>
  <c r="F52" i="10"/>
  <c r="G17" i="10" s="1"/>
  <c r="H111" i="7"/>
  <c r="G51" i="10"/>
  <c r="H16" i="10" s="1"/>
  <c r="J15" i="3"/>
  <c r="H65" i="14"/>
  <c r="AI286" i="5"/>
  <c r="AJ286" i="5" s="1"/>
  <c r="AK286" i="5" s="1"/>
  <c r="AL286" i="5" s="1"/>
  <c r="G353" i="5"/>
  <c r="G420" i="5" s="1"/>
  <c r="Y48" i="4"/>
  <c r="AA48" i="4" s="1"/>
  <c r="H76" i="2"/>
  <c r="I76" i="14"/>
  <c r="J76" i="14"/>
  <c r="F77" i="14"/>
  <c r="J77" i="14"/>
  <c r="H70" i="14"/>
  <c r="J70" i="14"/>
  <c r="J26" i="2"/>
  <c r="H63" i="2"/>
  <c r="H68" i="2" s="1"/>
  <c r="I43" i="2"/>
  <c r="H39" i="2"/>
  <c r="H62" i="2" s="1"/>
  <c r="AD90" i="5"/>
  <c r="AD103" i="5"/>
  <c r="O84" i="5"/>
  <c r="AD84" i="5" s="1"/>
  <c r="T15" i="9"/>
  <c r="W7" i="9"/>
  <c r="AD123" i="5"/>
  <c r="AD98" i="5"/>
  <c r="AD110" i="5"/>
  <c r="AD95" i="5"/>
  <c r="AD111" i="5"/>
  <c r="AD131" i="5"/>
  <c r="AC46" i="4"/>
  <c r="AD106" i="5"/>
  <c r="AD118" i="5"/>
  <c r="AD91" i="5"/>
  <c r="AD99" i="5"/>
  <c r="AA86" i="5"/>
  <c r="AB86" i="5"/>
  <c r="AB102" i="5"/>
  <c r="AA102" i="5"/>
  <c r="AA118" i="5"/>
  <c r="AB118" i="5"/>
  <c r="AB134" i="5"/>
  <c r="AA134" i="5"/>
  <c r="AB70" i="6"/>
  <c r="AA70" i="6"/>
  <c r="AA115" i="5"/>
  <c r="AB115" i="5"/>
  <c r="AA123" i="5"/>
  <c r="AB123" i="5"/>
  <c r="AB68" i="6"/>
  <c r="AA68" i="6"/>
  <c r="AB76" i="6"/>
  <c r="AA76" i="6"/>
  <c r="AA84" i="6"/>
  <c r="AB84" i="6"/>
  <c r="AA92" i="5"/>
  <c r="AB92" i="5"/>
  <c r="AA100" i="5"/>
  <c r="AB100" i="5"/>
  <c r="AA108" i="5"/>
  <c r="AB108" i="5"/>
  <c r="AA116" i="5"/>
  <c r="AB116" i="5"/>
  <c r="AA124" i="5"/>
  <c r="AB124" i="5"/>
  <c r="AA132" i="5"/>
  <c r="AB132" i="5"/>
  <c r="AA67" i="6"/>
  <c r="AB67" i="6"/>
  <c r="AA83" i="6"/>
  <c r="AB83" i="6"/>
  <c r="AB90" i="5"/>
  <c r="AA90" i="5"/>
  <c r="AA106" i="5"/>
  <c r="AB106" i="5"/>
  <c r="AA122" i="5"/>
  <c r="AB122" i="5"/>
  <c r="AB138" i="5"/>
  <c r="AA138" i="5"/>
  <c r="AB69" i="6"/>
  <c r="AA69" i="6"/>
  <c r="AB85" i="6"/>
  <c r="AA85" i="6"/>
  <c r="AB66" i="6"/>
  <c r="AA66" i="6"/>
  <c r="AA74" i="6"/>
  <c r="AB74" i="6"/>
  <c r="AB82" i="6"/>
  <c r="AA82" i="6"/>
  <c r="AA94" i="5"/>
  <c r="AB94" i="5"/>
  <c r="AB110" i="5"/>
  <c r="AA110" i="5"/>
  <c r="AA126" i="5"/>
  <c r="AB126" i="5"/>
  <c r="AB73" i="6"/>
  <c r="AA73" i="6"/>
  <c r="AB86" i="6"/>
  <c r="AA86" i="6"/>
  <c r="AA99" i="5"/>
  <c r="AB99" i="5"/>
  <c r="AA131" i="5"/>
  <c r="AB131" i="5"/>
  <c r="AB72" i="6"/>
  <c r="AA72" i="6"/>
  <c r="AA96" i="5"/>
  <c r="AB96" i="5"/>
  <c r="AA112" i="5"/>
  <c r="AB112" i="5"/>
  <c r="AA128" i="5"/>
  <c r="AB128" i="5"/>
  <c r="AB93" i="5"/>
  <c r="AA93" i="5"/>
  <c r="AA63" i="6"/>
  <c r="AB63" i="6"/>
  <c r="AA71" i="6"/>
  <c r="AB71" i="6"/>
  <c r="AA79" i="6"/>
  <c r="AB79" i="6"/>
  <c r="AA87" i="6"/>
  <c r="AB87" i="6"/>
  <c r="R156" i="5"/>
  <c r="I156" i="5"/>
  <c r="Y156" i="5" s="1"/>
  <c r="O156" i="5"/>
  <c r="T156" i="5"/>
  <c r="N156" i="5"/>
  <c r="S156" i="5"/>
  <c r="P156" i="5"/>
  <c r="R118" i="6"/>
  <c r="I118" i="6"/>
  <c r="T118" i="6"/>
  <c r="N118" i="6"/>
  <c r="AD118" i="6" s="1"/>
  <c r="S118" i="6"/>
  <c r="P118" i="6"/>
  <c r="R88" i="4"/>
  <c r="I88" i="4"/>
  <c r="T88" i="4"/>
  <c r="S88" i="4"/>
  <c r="N88" i="4"/>
  <c r="AD88" i="4" s="1"/>
  <c r="P88" i="4"/>
  <c r="J245" i="5"/>
  <c r="R178" i="5"/>
  <c r="I178" i="5"/>
  <c r="Y178" i="5" s="1"/>
  <c r="S178" i="5"/>
  <c r="P178" i="5"/>
  <c r="O178" i="5"/>
  <c r="T178" i="5"/>
  <c r="N178" i="5"/>
  <c r="J154" i="6"/>
  <c r="R112" i="6"/>
  <c r="I112" i="6"/>
  <c r="Y112" i="6" s="1"/>
  <c r="S112" i="6"/>
  <c r="P112" i="6"/>
  <c r="N112" i="6"/>
  <c r="AD112" i="6" s="1"/>
  <c r="T112" i="6"/>
  <c r="R153" i="6"/>
  <c r="I153" i="6"/>
  <c r="N153" i="6"/>
  <c r="AD153" i="6" s="1"/>
  <c r="T153" i="6"/>
  <c r="S153" i="6"/>
  <c r="P153" i="6"/>
  <c r="R129" i="6"/>
  <c r="I129" i="6"/>
  <c r="Y129" i="6" s="1"/>
  <c r="S129" i="6"/>
  <c r="P129" i="6"/>
  <c r="N129" i="6"/>
  <c r="AD129" i="6" s="1"/>
  <c r="T129" i="6"/>
  <c r="R167" i="5"/>
  <c r="I167" i="5"/>
  <c r="Y167" i="5" s="1"/>
  <c r="P167" i="5"/>
  <c r="O167" i="5"/>
  <c r="T167" i="5"/>
  <c r="N167" i="5"/>
  <c r="S167" i="5"/>
  <c r="J258" i="5"/>
  <c r="J325" i="5" s="1"/>
  <c r="J392" i="5" s="1"/>
  <c r="J459" i="5" s="1"/>
  <c r="R191" i="5"/>
  <c r="I191" i="5"/>
  <c r="Y191" i="5" s="1"/>
  <c r="S191" i="5"/>
  <c r="P191" i="5"/>
  <c r="O191" i="5"/>
  <c r="T191" i="5"/>
  <c r="N191" i="5"/>
  <c r="AB64" i="6"/>
  <c r="AA64" i="6"/>
  <c r="AA107" i="5"/>
  <c r="AB107" i="5"/>
  <c r="AA114" i="5"/>
  <c r="AB114" i="5"/>
  <c r="AA133" i="5"/>
  <c r="AB133" i="5"/>
  <c r="AB101" i="5"/>
  <c r="AA101" i="5"/>
  <c r="AA88" i="5"/>
  <c r="AB88" i="5"/>
  <c r="R160" i="5"/>
  <c r="I160" i="5"/>
  <c r="Y160" i="5" s="1"/>
  <c r="O160" i="5"/>
  <c r="T160" i="5"/>
  <c r="N160" i="5"/>
  <c r="S160" i="5"/>
  <c r="P160" i="5"/>
  <c r="R176" i="5"/>
  <c r="I176" i="5"/>
  <c r="Y176" i="5" s="1"/>
  <c r="O176" i="5"/>
  <c r="T176" i="5"/>
  <c r="N176" i="5"/>
  <c r="S176" i="5"/>
  <c r="P176" i="5"/>
  <c r="R192" i="5"/>
  <c r="I192" i="5"/>
  <c r="Y192" i="5" s="1"/>
  <c r="P192" i="5"/>
  <c r="O192" i="5"/>
  <c r="T192" i="5"/>
  <c r="N192" i="5"/>
  <c r="S192" i="5"/>
  <c r="R63" i="4"/>
  <c r="I63" i="4"/>
  <c r="T63" i="4"/>
  <c r="S63" i="4"/>
  <c r="N63" i="4"/>
  <c r="AD63" i="4" s="1"/>
  <c r="P63" i="4"/>
  <c r="R122" i="6"/>
  <c r="I122" i="6"/>
  <c r="Y122" i="6" s="1"/>
  <c r="T122" i="6"/>
  <c r="S122" i="6"/>
  <c r="P122" i="6"/>
  <c r="N122" i="6"/>
  <c r="AD122" i="6" s="1"/>
  <c r="R127" i="6"/>
  <c r="I127" i="6"/>
  <c r="Y127" i="6" s="1"/>
  <c r="AA127" i="6" s="1"/>
  <c r="N127" i="6"/>
  <c r="AD127" i="6" s="1"/>
  <c r="T127" i="6"/>
  <c r="S127" i="6"/>
  <c r="P127" i="6"/>
  <c r="R86" i="4"/>
  <c r="I86" i="4"/>
  <c r="N86" i="4"/>
  <c r="AD86" i="4" s="1"/>
  <c r="T86" i="4"/>
  <c r="P86" i="4"/>
  <c r="S86" i="4"/>
  <c r="R92" i="4"/>
  <c r="I92" i="4"/>
  <c r="S92" i="4"/>
  <c r="P92" i="4"/>
  <c r="N92" i="4"/>
  <c r="AD92" i="4" s="1"/>
  <c r="T92" i="4"/>
  <c r="AM199" i="5"/>
  <c r="R115" i="6"/>
  <c r="I115" i="6"/>
  <c r="Y115" i="6" s="1"/>
  <c r="P115" i="6"/>
  <c r="N115" i="6"/>
  <c r="AD115" i="6" s="1"/>
  <c r="T115" i="6"/>
  <c r="S115" i="6"/>
  <c r="R166" i="5"/>
  <c r="I166" i="5"/>
  <c r="Y166" i="5" s="1"/>
  <c r="S166" i="5"/>
  <c r="P166" i="5"/>
  <c r="O166" i="5"/>
  <c r="T166" i="5"/>
  <c r="N166" i="5"/>
  <c r="R182" i="5"/>
  <c r="I182" i="5"/>
  <c r="Y182" i="5" s="1"/>
  <c r="T182" i="5"/>
  <c r="N182" i="5"/>
  <c r="S182" i="5"/>
  <c r="P182" i="5"/>
  <c r="O182" i="5"/>
  <c r="R198" i="5"/>
  <c r="I198" i="5"/>
  <c r="Y198" i="5" s="1"/>
  <c r="T198" i="5"/>
  <c r="N198" i="5"/>
  <c r="S198" i="5"/>
  <c r="P198" i="5"/>
  <c r="O198" i="5"/>
  <c r="R90" i="4"/>
  <c r="I90" i="4"/>
  <c r="T90" i="4"/>
  <c r="S90" i="4"/>
  <c r="P90" i="4"/>
  <c r="N90" i="4"/>
  <c r="AD90" i="4" s="1"/>
  <c r="J158" i="6"/>
  <c r="J200" i="6" s="1"/>
  <c r="J242" i="6" s="1"/>
  <c r="J284" i="6" s="1"/>
  <c r="J326" i="6" s="1"/>
  <c r="R116" i="6"/>
  <c r="I116" i="6"/>
  <c r="Y116" i="6" s="1"/>
  <c r="N116" i="6"/>
  <c r="AD116" i="6" s="1"/>
  <c r="T116" i="6"/>
  <c r="S116" i="6"/>
  <c r="P116" i="6"/>
  <c r="R91" i="4"/>
  <c r="I91" i="4"/>
  <c r="S91" i="4"/>
  <c r="P91" i="4"/>
  <c r="T91" i="4"/>
  <c r="N91" i="4"/>
  <c r="AD91" i="4" s="1"/>
  <c r="R117" i="6"/>
  <c r="I117" i="6"/>
  <c r="T117" i="6"/>
  <c r="S117" i="6"/>
  <c r="P117" i="6"/>
  <c r="N117" i="6"/>
  <c r="AD117" i="6" s="1"/>
  <c r="J228" i="5"/>
  <c r="AM228" i="5" s="1"/>
  <c r="R161" i="5"/>
  <c r="I161" i="5"/>
  <c r="Y161" i="5" s="1"/>
  <c r="T161" i="5"/>
  <c r="N161" i="5"/>
  <c r="S161" i="5"/>
  <c r="P161" i="5"/>
  <c r="O161" i="5"/>
  <c r="R169" i="5"/>
  <c r="I169" i="5"/>
  <c r="Y169" i="5" s="1"/>
  <c r="T169" i="5"/>
  <c r="N169" i="5"/>
  <c r="S169" i="5"/>
  <c r="P169" i="5"/>
  <c r="O169" i="5"/>
  <c r="R177" i="5"/>
  <c r="I177" i="5"/>
  <c r="Y177" i="5" s="1"/>
  <c r="T177" i="5"/>
  <c r="N177" i="5"/>
  <c r="S177" i="5"/>
  <c r="P177" i="5"/>
  <c r="O177" i="5"/>
  <c r="R185" i="5"/>
  <c r="I185" i="5"/>
  <c r="Y185" i="5" s="1"/>
  <c r="O185" i="5"/>
  <c r="T185" i="5"/>
  <c r="N185" i="5"/>
  <c r="S185" i="5"/>
  <c r="P185" i="5"/>
  <c r="R193" i="5"/>
  <c r="I193" i="5"/>
  <c r="Y193" i="5" s="1"/>
  <c r="O193" i="5"/>
  <c r="T193" i="5"/>
  <c r="N193" i="5"/>
  <c r="S193" i="5"/>
  <c r="P193" i="5"/>
  <c r="J268" i="5"/>
  <c r="J335" i="5" s="1"/>
  <c r="J402" i="5" s="1"/>
  <c r="J469" i="5" s="1"/>
  <c r="R201" i="5"/>
  <c r="I201" i="5"/>
  <c r="Y201" i="5" s="1"/>
  <c r="O201" i="5"/>
  <c r="T201" i="5"/>
  <c r="N201" i="5"/>
  <c r="S201" i="5"/>
  <c r="P201" i="5"/>
  <c r="R126" i="6"/>
  <c r="I126" i="6"/>
  <c r="Y126" i="6" s="1"/>
  <c r="P126" i="6"/>
  <c r="T126" i="6"/>
  <c r="N126" i="6"/>
  <c r="AD126" i="6" s="1"/>
  <c r="S126" i="6"/>
  <c r="R111" i="6"/>
  <c r="I111" i="6"/>
  <c r="Y111" i="6" s="1"/>
  <c r="T111" i="6"/>
  <c r="S111" i="6"/>
  <c r="P111" i="6"/>
  <c r="N111" i="6"/>
  <c r="AD111" i="6" s="1"/>
  <c r="AA103" i="5"/>
  <c r="AB103" i="5"/>
  <c r="AA87" i="5"/>
  <c r="AB87" i="5"/>
  <c r="AD120" i="5"/>
  <c r="AD126" i="5"/>
  <c r="AD128" i="5"/>
  <c r="AD134" i="5"/>
  <c r="AD136" i="5"/>
  <c r="K88" i="3"/>
  <c r="AB129" i="5"/>
  <c r="AA129" i="5"/>
  <c r="AB113" i="5"/>
  <c r="AA113" i="5"/>
  <c r="AB97" i="5"/>
  <c r="AA97" i="5"/>
  <c r="AD113" i="5"/>
  <c r="AD125" i="5"/>
  <c r="AD133" i="5"/>
  <c r="R172" i="5"/>
  <c r="I172" i="5"/>
  <c r="Y172" i="5" s="1"/>
  <c r="O172" i="5"/>
  <c r="T172" i="5"/>
  <c r="N172" i="5"/>
  <c r="S172" i="5"/>
  <c r="P172" i="5"/>
  <c r="R204" i="5"/>
  <c r="I204" i="5"/>
  <c r="Y204" i="5" s="1"/>
  <c r="P204" i="5"/>
  <c r="O204" i="5"/>
  <c r="T204" i="5"/>
  <c r="N204" i="5"/>
  <c r="S204" i="5"/>
  <c r="R162" i="5"/>
  <c r="I162" i="5"/>
  <c r="Y162" i="5" s="1"/>
  <c r="S162" i="5"/>
  <c r="P162" i="5"/>
  <c r="O162" i="5"/>
  <c r="T162" i="5"/>
  <c r="N162" i="5"/>
  <c r="R194" i="5"/>
  <c r="I194" i="5"/>
  <c r="Y194" i="5" s="1"/>
  <c r="T194" i="5"/>
  <c r="N194" i="5"/>
  <c r="S194" i="5"/>
  <c r="P194" i="5"/>
  <c r="O194" i="5"/>
  <c r="J170" i="6"/>
  <c r="J212" i="6" s="1"/>
  <c r="J254" i="6" s="1"/>
  <c r="J296" i="6" s="1"/>
  <c r="J338" i="6" s="1"/>
  <c r="R128" i="6"/>
  <c r="I128" i="6"/>
  <c r="Y128" i="6" s="1"/>
  <c r="T128" i="6"/>
  <c r="S128" i="6"/>
  <c r="P128" i="6"/>
  <c r="N128" i="6"/>
  <c r="AD128" i="6" s="1"/>
  <c r="R159" i="5"/>
  <c r="I159" i="5"/>
  <c r="Y159" i="5" s="1"/>
  <c r="P159" i="5"/>
  <c r="O159" i="5"/>
  <c r="T159" i="5"/>
  <c r="N159" i="5"/>
  <c r="S159" i="5"/>
  <c r="J250" i="5"/>
  <c r="J317" i="5" s="1"/>
  <c r="J384" i="5" s="1"/>
  <c r="J451" i="5" s="1"/>
  <c r="R183" i="5"/>
  <c r="I183" i="5"/>
  <c r="Y183" i="5" s="1"/>
  <c r="S183" i="5"/>
  <c r="P183" i="5"/>
  <c r="O183" i="5"/>
  <c r="T183" i="5"/>
  <c r="N183" i="5"/>
  <c r="R110" i="6"/>
  <c r="I110" i="6"/>
  <c r="Y110" i="6" s="1"/>
  <c r="T110" i="6"/>
  <c r="N110" i="6"/>
  <c r="AD110" i="6" s="1"/>
  <c r="S110" i="6"/>
  <c r="P110" i="6"/>
  <c r="AB80" i="6"/>
  <c r="AA80" i="6"/>
  <c r="AB119" i="5"/>
  <c r="AA119" i="5"/>
  <c r="AA65" i="6"/>
  <c r="AB65" i="6"/>
  <c r="AA130" i="5"/>
  <c r="AB130" i="5"/>
  <c r="AB62" i="6"/>
  <c r="AA62" i="6"/>
  <c r="AA117" i="5"/>
  <c r="AB117" i="5"/>
  <c r="AA40" i="4"/>
  <c r="AB40" i="4"/>
  <c r="AA75" i="6"/>
  <c r="AB75" i="6"/>
  <c r="AA120" i="5"/>
  <c r="AB120" i="5"/>
  <c r="R260" i="5"/>
  <c r="I260" i="5"/>
  <c r="P260" i="5"/>
  <c r="T260" i="5"/>
  <c r="N260" i="5"/>
  <c r="O260" i="5"/>
  <c r="S260" i="5"/>
  <c r="J226" i="5"/>
  <c r="J293" i="5" s="1"/>
  <c r="J360" i="5" s="1"/>
  <c r="J427" i="5" s="1"/>
  <c r="R168" i="6"/>
  <c r="I168" i="6"/>
  <c r="S168" i="6"/>
  <c r="P168" i="6"/>
  <c r="N168" i="6"/>
  <c r="AD168" i="6" s="1"/>
  <c r="T168" i="6"/>
  <c r="R164" i="5"/>
  <c r="I164" i="5"/>
  <c r="Y164" i="5" s="1"/>
  <c r="O164" i="5"/>
  <c r="T164" i="5"/>
  <c r="N164" i="5"/>
  <c r="S164" i="5"/>
  <c r="P164" i="5"/>
  <c r="R180" i="5"/>
  <c r="I180" i="5"/>
  <c r="Y180" i="5" s="1"/>
  <c r="P180" i="5"/>
  <c r="O180" i="5"/>
  <c r="T180" i="5"/>
  <c r="N180" i="5"/>
  <c r="S180" i="5"/>
  <c r="R196" i="5"/>
  <c r="I196" i="5"/>
  <c r="Y196" i="5" s="1"/>
  <c r="P196" i="5"/>
  <c r="O196" i="5"/>
  <c r="T196" i="5"/>
  <c r="N196" i="5"/>
  <c r="S196" i="5"/>
  <c r="R67" i="4"/>
  <c r="I67" i="4"/>
  <c r="P67" i="4"/>
  <c r="N67" i="4"/>
  <c r="AD67" i="4" s="1"/>
  <c r="T67" i="4"/>
  <c r="S67" i="4"/>
  <c r="R106" i="6"/>
  <c r="I106" i="6"/>
  <c r="Y106" i="6" s="1"/>
  <c r="S106" i="6"/>
  <c r="P106" i="6"/>
  <c r="T106" i="6"/>
  <c r="N106" i="6"/>
  <c r="AD106" i="6" s="1"/>
  <c r="R130" i="6"/>
  <c r="I130" i="6"/>
  <c r="Y130" i="6" s="1"/>
  <c r="T130" i="6"/>
  <c r="N130" i="6"/>
  <c r="AD130" i="6" s="1"/>
  <c r="S130" i="6"/>
  <c r="P130" i="6"/>
  <c r="R131" i="6"/>
  <c r="I131" i="6"/>
  <c r="Y131" i="6" s="1"/>
  <c r="S131" i="6"/>
  <c r="P131" i="6"/>
  <c r="N131" i="6"/>
  <c r="AD131" i="6" s="1"/>
  <c r="T131" i="6"/>
  <c r="AG204" i="5"/>
  <c r="AH204" i="5" s="1"/>
  <c r="R119" i="6"/>
  <c r="I119" i="6"/>
  <c r="Y119" i="6" s="1"/>
  <c r="T119" i="6"/>
  <c r="S119" i="6"/>
  <c r="N119" i="6"/>
  <c r="AD119" i="6" s="1"/>
  <c r="P119" i="6"/>
  <c r="R170" i="5"/>
  <c r="I170" i="5"/>
  <c r="Y170" i="5" s="1"/>
  <c r="S170" i="5"/>
  <c r="P170" i="5"/>
  <c r="O170" i="5"/>
  <c r="T170" i="5"/>
  <c r="N170" i="5"/>
  <c r="J253" i="5"/>
  <c r="R186" i="5"/>
  <c r="I186" i="5"/>
  <c r="Y186" i="5" s="1"/>
  <c r="T186" i="5"/>
  <c r="N186" i="5"/>
  <c r="S186" i="5"/>
  <c r="P186" i="5"/>
  <c r="O186" i="5"/>
  <c r="R202" i="5"/>
  <c r="I202" i="5"/>
  <c r="Y202" i="5" s="1"/>
  <c r="T202" i="5"/>
  <c r="N202" i="5"/>
  <c r="S202" i="5"/>
  <c r="P202" i="5"/>
  <c r="O202" i="5"/>
  <c r="R104" i="6"/>
  <c r="I104" i="6"/>
  <c r="Y104" i="6" s="1"/>
  <c r="S104" i="6"/>
  <c r="P104" i="6"/>
  <c r="N104" i="6"/>
  <c r="AD104" i="6" s="1"/>
  <c r="T104" i="6"/>
  <c r="R120" i="6"/>
  <c r="I120" i="6"/>
  <c r="Y120" i="6" s="1"/>
  <c r="S120" i="6"/>
  <c r="P120" i="6"/>
  <c r="N120" i="6"/>
  <c r="AD120" i="6" s="1"/>
  <c r="T120" i="6"/>
  <c r="J147" i="6"/>
  <c r="R105" i="6"/>
  <c r="I105" i="6"/>
  <c r="Y105" i="6" s="1"/>
  <c r="P105" i="6"/>
  <c r="N105" i="6"/>
  <c r="AD105" i="6" s="1"/>
  <c r="T105" i="6"/>
  <c r="S105" i="6"/>
  <c r="R121" i="6"/>
  <c r="I121" i="6"/>
  <c r="Y121" i="6" s="1"/>
  <c r="P121" i="6"/>
  <c r="N121" i="6"/>
  <c r="AD121" i="6" s="1"/>
  <c r="T121" i="6"/>
  <c r="S121" i="6"/>
  <c r="R155" i="5"/>
  <c r="I155" i="5"/>
  <c r="Y155" i="5" s="1"/>
  <c r="P155" i="5"/>
  <c r="O155" i="5"/>
  <c r="T155" i="5"/>
  <c r="N155" i="5"/>
  <c r="S155" i="5"/>
  <c r="R163" i="5"/>
  <c r="I163" i="5"/>
  <c r="Y163" i="5" s="1"/>
  <c r="P163" i="5"/>
  <c r="O163" i="5"/>
  <c r="T163" i="5"/>
  <c r="N163" i="5"/>
  <c r="S163" i="5"/>
  <c r="R171" i="5"/>
  <c r="I171" i="5"/>
  <c r="Y171" i="5" s="1"/>
  <c r="P171" i="5"/>
  <c r="O171" i="5"/>
  <c r="T171" i="5"/>
  <c r="N171" i="5"/>
  <c r="S171" i="5"/>
  <c r="R179" i="5"/>
  <c r="I179" i="5"/>
  <c r="Y179" i="5" s="1"/>
  <c r="P179" i="5"/>
  <c r="O179" i="5"/>
  <c r="T179" i="5"/>
  <c r="N179" i="5"/>
  <c r="S179" i="5"/>
  <c r="R187" i="5"/>
  <c r="I187" i="5"/>
  <c r="Y187" i="5" s="1"/>
  <c r="S187" i="5"/>
  <c r="P187" i="5"/>
  <c r="O187" i="5"/>
  <c r="T187" i="5"/>
  <c r="N187" i="5"/>
  <c r="J262" i="5"/>
  <c r="R195" i="5"/>
  <c r="I195" i="5"/>
  <c r="Y195" i="5" s="1"/>
  <c r="S195" i="5"/>
  <c r="P195" i="5"/>
  <c r="O195" i="5"/>
  <c r="T195" i="5"/>
  <c r="N195" i="5"/>
  <c r="R203" i="5"/>
  <c r="I203" i="5"/>
  <c r="Y203" i="5" s="1"/>
  <c r="S203" i="5"/>
  <c r="P203" i="5"/>
  <c r="O203" i="5"/>
  <c r="T203" i="5"/>
  <c r="N203" i="5"/>
  <c r="R123" i="6"/>
  <c r="I123" i="6"/>
  <c r="Y123" i="6" s="1"/>
  <c r="S123" i="6"/>
  <c r="P123" i="6"/>
  <c r="N123" i="6"/>
  <c r="AD123" i="6" s="1"/>
  <c r="T123" i="6"/>
  <c r="AA127" i="5"/>
  <c r="AB127" i="5"/>
  <c r="AC42" i="4"/>
  <c r="AD86" i="5"/>
  <c r="AD88" i="5"/>
  <c r="AD94" i="5"/>
  <c r="AD108" i="5"/>
  <c r="AD114" i="5"/>
  <c r="AD138" i="5"/>
  <c r="AB125" i="5"/>
  <c r="AA125" i="5"/>
  <c r="AB109" i="5"/>
  <c r="AA109" i="5"/>
  <c r="AC44" i="4"/>
  <c r="AD101" i="5"/>
  <c r="AD107" i="5"/>
  <c r="AD117" i="5"/>
  <c r="AD119" i="5"/>
  <c r="AD127" i="5"/>
  <c r="AD135" i="5"/>
  <c r="AD137" i="5"/>
  <c r="R261" i="5"/>
  <c r="I261" i="5"/>
  <c r="O261" i="5"/>
  <c r="S261" i="5"/>
  <c r="N261" i="5"/>
  <c r="T261" i="5"/>
  <c r="P261" i="5"/>
  <c r="R188" i="5"/>
  <c r="I188" i="5"/>
  <c r="Y188" i="5" s="1"/>
  <c r="P188" i="5"/>
  <c r="O188" i="5"/>
  <c r="T188" i="5"/>
  <c r="N188" i="5"/>
  <c r="S188" i="5"/>
  <c r="R113" i="6"/>
  <c r="I113" i="6"/>
  <c r="Y113" i="6" s="1"/>
  <c r="P113" i="6"/>
  <c r="N113" i="6"/>
  <c r="AD113" i="6" s="1"/>
  <c r="T113" i="6"/>
  <c r="S113" i="6"/>
  <c r="R175" i="5"/>
  <c r="I175" i="5"/>
  <c r="Y175" i="5" s="1"/>
  <c r="P175" i="5"/>
  <c r="O175" i="5"/>
  <c r="T175" i="5"/>
  <c r="N175" i="5"/>
  <c r="S175" i="5"/>
  <c r="R199" i="5"/>
  <c r="I199" i="5"/>
  <c r="Y199" i="5" s="1"/>
  <c r="S199" i="5"/>
  <c r="P199" i="5"/>
  <c r="O199" i="5"/>
  <c r="T199" i="5"/>
  <c r="N199" i="5"/>
  <c r="AA135" i="5"/>
  <c r="AB135" i="5"/>
  <c r="AA91" i="5"/>
  <c r="AB91" i="5"/>
  <c r="AA81" i="6"/>
  <c r="AB81" i="6"/>
  <c r="AB98" i="5"/>
  <c r="AA98" i="5"/>
  <c r="AB78" i="6"/>
  <c r="AA78" i="6"/>
  <c r="AA136" i="5"/>
  <c r="AB136" i="5"/>
  <c r="AA104" i="5"/>
  <c r="AB104" i="5"/>
  <c r="J266" i="5"/>
  <c r="J333" i="5" s="1"/>
  <c r="J400" i="5" s="1"/>
  <c r="J467" i="5" s="1"/>
  <c r="R256" i="5"/>
  <c r="I256" i="5"/>
  <c r="P256" i="5"/>
  <c r="O256" i="5"/>
  <c r="T256" i="5"/>
  <c r="S256" i="5"/>
  <c r="N256" i="5"/>
  <c r="R154" i="5"/>
  <c r="I154" i="5"/>
  <c r="Y154" i="5" s="1"/>
  <c r="S154" i="5"/>
  <c r="P154" i="5"/>
  <c r="O154" i="5"/>
  <c r="T154" i="5"/>
  <c r="N154" i="5"/>
  <c r="R168" i="5"/>
  <c r="I168" i="5"/>
  <c r="Y168" i="5" s="1"/>
  <c r="O168" i="5"/>
  <c r="T168" i="5"/>
  <c r="N168" i="5"/>
  <c r="S168" i="5"/>
  <c r="P168" i="5"/>
  <c r="R184" i="5"/>
  <c r="I184" i="5"/>
  <c r="Y184" i="5" s="1"/>
  <c r="P184" i="5"/>
  <c r="O184" i="5"/>
  <c r="T184" i="5"/>
  <c r="N184" i="5"/>
  <c r="S184" i="5"/>
  <c r="R200" i="5"/>
  <c r="I200" i="5"/>
  <c r="Y200" i="5" s="1"/>
  <c r="P200" i="5"/>
  <c r="O200" i="5"/>
  <c r="T200" i="5"/>
  <c r="N200" i="5"/>
  <c r="S200" i="5"/>
  <c r="R114" i="6"/>
  <c r="I114" i="6"/>
  <c r="Y114" i="6" s="1"/>
  <c r="S114" i="6"/>
  <c r="P114" i="6"/>
  <c r="T114" i="6"/>
  <c r="N114" i="6"/>
  <c r="AD114" i="6" s="1"/>
  <c r="H16" i="8"/>
  <c r="H19" i="8" s="1"/>
  <c r="I154" i="3"/>
  <c r="G15" i="11" s="1"/>
  <c r="R87" i="4"/>
  <c r="I87" i="4"/>
  <c r="T87" i="4"/>
  <c r="P87" i="4"/>
  <c r="S87" i="4"/>
  <c r="N87" i="4"/>
  <c r="AD87" i="4" s="1"/>
  <c r="R158" i="5"/>
  <c r="I158" i="5"/>
  <c r="Y158" i="5" s="1"/>
  <c r="S158" i="5"/>
  <c r="P158" i="5"/>
  <c r="O158" i="5"/>
  <c r="N158" i="5"/>
  <c r="T158" i="5"/>
  <c r="R174" i="5"/>
  <c r="I174" i="5"/>
  <c r="Y174" i="5" s="1"/>
  <c r="S174" i="5"/>
  <c r="P174" i="5"/>
  <c r="O174" i="5"/>
  <c r="N174" i="5"/>
  <c r="T174" i="5"/>
  <c r="R190" i="5"/>
  <c r="I190" i="5"/>
  <c r="Y190" i="5" s="1"/>
  <c r="T190" i="5"/>
  <c r="N190" i="5"/>
  <c r="S190" i="5"/>
  <c r="P190" i="5"/>
  <c r="O190" i="5"/>
  <c r="R206" i="5"/>
  <c r="I206" i="5"/>
  <c r="Y206" i="5" s="1"/>
  <c r="T206" i="5"/>
  <c r="N206" i="5"/>
  <c r="S206" i="5"/>
  <c r="P206" i="5"/>
  <c r="O206" i="5"/>
  <c r="R108" i="6"/>
  <c r="I108" i="6"/>
  <c r="Y108" i="6" s="1"/>
  <c r="N108" i="6"/>
  <c r="AD108" i="6" s="1"/>
  <c r="T108" i="6"/>
  <c r="S108" i="6"/>
  <c r="P108" i="6"/>
  <c r="R124" i="6"/>
  <c r="I124" i="6"/>
  <c r="P124" i="6"/>
  <c r="N124" i="6"/>
  <c r="AD124" i="6" s="1"/>
  <c r="T124" i="6"/>
  <c r="S124" i="6"/>
  <c r="R109" i="6"/>
  <c r="I109" i="6"/>
  <c r="Y109" i="6" s="1"/>
  <c r="T109" i="6"/>
  <c r="S109" i="6"/>
  <c r="P109" i="6"/>
  <c r="N109" i="6"/>
  <c r="AD109" i="6" s="1"/>
  <c r="R125" i="6"/>
  <c r="I125" i="6"/>
  <c r="Y125" i="6" s="1"/>
  <c r="N125" i="6"/>
  <c r="AD125" i="6" s="1"/>
  <c r="T125" i="6"/>
  <c r="S125" i="6"/>
  <c r="P125" i="6"/>
  <c r="R157" i="5"/>
  <c r="I157" i="5"/>
  <c r="Y157" i="5" s="1"/>
  <c r="T157" i="5"/>
  <c r="N157" i="5"/>
  <c r="S157" i="5"/>
  <c r="P157" i="5"/>
  <c r="O157" i="5"/>
  <c r="R165" i="5"/>
  <c r="I165" i="5"/>
  <c r="Y165" i="5" s="1"/>
  <c r="T165" i="5"/>
  <c r="N165" i="5"/>
  <c r="S165" i="5"/>
  <c r="P165" i="5"/>
  <c r="O165" i="5"/>
  <c r="J240" i="5"/>
  <c r="J307" i="5" s="1"/>
  <c r="J374" i="5" s="1"/>
  <c r="J441" i="5" s="1"/>
  <c r="R173" i="5"/>
  <c r="I173" i="5"/>
  <c r="Y173" i="5" s="1"/>
  <c r="T173" i="5"/>
  <c r="N173" i="5"/>
  <c r="S173" i="5"/>
  <c r="P173" i="5"/>
  <c r="O173" i="5"/>
  <c r="R181" i="5"/>
  <c r="I181" i="5"/>
  <c r="Y181" i="5" s="1"/>
  <c r="O181" i="5"/>
  <c r="T181" i="5"/>
  <c r="N181" i="5"/>
  <c r="S181" i="5"/>
  <c r="P181" i="5"/>
  <c r="R189" i="5"/>
  <c r="I189" i="5"/>
  <c r="Y189" i="5" s="1"/>
  <c r="O189" i="5"/>
  <c r="T189" i="5"/>
  <c r="N189" i="5"/>
  <c r="S189" i="5"/>
  <c r="P189" i="5"/>
  <c r="J264" i="5"/>
  <c r="J331" i="5" s="1"/>
  <c r="J398" i="5" s="1"/>
  <c r="J465" i="5" s="1"/>
  <c r="R197" i="5"/>
  <c r="I197" i="5"/>
  <c r="Y197" i="5" s="1"/>
  <c r="O197" i="5"/>
  <c r="T197" i="5"/>
  <c r="N197" i="5"/>
  <c r="S197" i="5"/>
  <c r="P197" i="5"/>
  <c r="R205" i="5"/>
  <c r="I205" i="5"/>
  <c r="Y205" i="5" s="1"/>
  <c r="O205" i="5"/>
  <c r="T205" i="5"/>
  <c r="N205" i="5"/>
  <c r="S205" i="5"/>
  <c r="P205" i="5"/>
  <c r="R149" i="6"/>
  <c r="I149" i="6"/>
  <c r="S149" i="6"/>
  <c r="P149" i="6"/>
  <c r="N149" i="6"/>
  <c r="AD149" i="6" s="1"/>
  <c r="T149" i="6"/>
  <c r="AB88" i="6"/>
  <c r="AA88" i="6"/>
  <c r="AB111" i="5"/>
  <c r="AA111" i="5"/>
  <c r="AA95" i="5"/>
  <c r="AB95" i="5"/>
  <c r="AD102" i="5"/>
  <c r="AD122" i="5"/>
  <c r="AD130" i="5"/>
  <c r="AB61" i="6"/>
  <c r="AA61" i="6"/>
  <c r="AB77" i="6"/>
  <c r="AA77" i="6"/>
  <c r="AA137" i="5"/>
  <c r="AB137" i="5"/>
  <c r="AB121" i="5"/>
  <c r="AA121" i="5"/>
  <c r="AA105" i="5"/>
  <c r="AB105" i="5"/>
  <c r="AB89" i="5"/>
  <c r="AA89" i="5"/>
  <c r="AD87" i="5"/>
  <c r="AD93" i="5"/>
  <c r="AD115" i="5"/>
  <c r="AD121" i="5"/>
  <c r="AD129" i="5"/>
  <c r="I71" i="2"/>
  <c r="K27" i="7" s="1"/>
  <c r="J30" i="2"/>
  <c r="J44" i="3"/>
  <c r="J169" i="3" s="1"/>
  <c r="I77" i="14"/>
  <c r="H24" i="13"/>
  <c r="F63" i="14"/>
  <c r="F11" i="14"/>
  <c r="F21" i="14"/>
  <c r="F40" i="14"/>
  <c r="R153" i="5"/>
  <c r="I153" i="5"/>
  <c r="Y153" i="5" s="1"/>
  <c r="N153" i="5"/>
  <c r="R220" i="5"/>
  <c r="I220" i="5"/>
  <c r="N220" i="5"/>
  <c r="I62" i="4"/>
  <c r="N62" i="4"/>
  <c r="AD62" i="4" s="1"/>
  <c r="I102" i="6"/>
  <c r="Y102" i="6" s="1"/>
  <c r="N102" i="6"/>
  <c r="AD102" i="6" s="1"/>
  <c r="P59" i="6"/>
  <c r="AA59" i="6"/>
  <c r="AB59" i="6"/>
  <c r="N48" i="4"/>
  <c r="I152" i="5"/>
  <c r="Y152" i="5" s="1"/>
  <c r="I61" i="4"/>
  <c r="Y61" i="4" s="1"/>
  <c r="N61" i="4"/>
  <c r="AD61" i="4" s="1"/>
  <c r="P38" i="4"/>
  <c r="P48" i="4" s="1"/>
  <c r="AB38" i="4"/>
  <c r="AA38" i="4"/>
  <c r="AA60" i="6"/>
  <c r="AB60" i="6"/>
  <c r="N103" i="6"/>
  <c r="AD103" i="6" s="1"/>
  <c r="P60" i="6"/>
  <c r="R60" i="6" s="1"/>
  <c r="O85" i="5"/>
  <c r="AB66" i="4"/>
  <c r="AA66" i="4"/>
  <c r="AA39" i="4"/>
  <c r="AB39" i="4"/>
  <c r="E258" i="5"/>
  <c r="E325" i="5" s="1"/>
  <c r="E392" i="5" s="1"/>
  <c r="E459" i="5" s="1"/>
  <c r="E246" i="5"/>
  <c r="F307" i="5"/>
  <c r="E160" i="6"/>
  <c r="E202" i="6" s="1"/>
  <c r="E244" i="6" s="1"/>
  <c r="E286" i="6" s="1"/>
  <c r="E328" i="6" s="1"/>
  <c r="AG116" i="6"/>
  <c r="AH116" i="6" s="1"/>
  <c r="F200" i="6"/>
  <c r="E264" i="5"/>
  <c r="E331" i="5" s="1"/>
  <c r="E398" i="5" s="1"/>
  <c r="E465" i="5" s="1"/>
  <c r="E163" i="6"/>
  <c r="AM152" i="5"/>
  <c r="AM161" i="5"/>
  <c r="F191" i="6"/>
  <c r="AM169" i="5"/>
  <c r="AG106" i="6"/>
  <c r="AH106" i="6" s="1"/>
  <c r="H286" i="5"/>
  <c r="J161" i="6"/>
  <c r="J203" i="6" s="1"/>
  <c r="J245" i="6" s="1"/>
  <c r="J287" i="6" s="1"/>
  <c r="J329" i="6" s="1"/>
  <c r="J195" i="6"/>
  <c r="J237" i="6" s="1"/>
  <c r="J279" i="6" s="1"/>
  <c r="J321" i="6" s="1"/>
  <c r="N89" i="6"/>
  <c r="G229" i="5"/>
  <c r="G296" i="5" s="1"/>
  <c r="G363" i="5" s="1"/>
  <c r="G430" i="5" s="1"/>
  <c r="E230" i="5"/>
  <c r="E262" i="5"/>
  <c r="E85" i="4"/>
  <c r="J165" i="6"/>
  <c r="J246" i="5"/>
  <c r="N139" i="5"/>
  <c r="AK157" i="5"/>
  <c r="AL157" i="5" s="1"/>
  <c r="AM157" i="5" s="1"/>
  <c r="AI199" i="5"/>
  <c r="AJ199" i="5" s="1"/>
  <c r="AG107" i="6"/>
  <c r="AH107" i="6" s="1"/>
  <c r="J225" i="5"/>
  <c r="J292" i="5" s="1"/>
  <c r="J359" i="5" s="1"/>
  <c r="J426" i="5" s="1"/>
  <c r="J241" i="5"/>
  <c r="J273" i="5"/>
  <c r="J249" i="5"/>
  <c r="AK167" i="5"/>
  <c r="AL167" i="5" s="1"/>
  <c r="AM167" i="5" s="1"/>
  <c r="AK166" i="5"/>
  <c r="AL166" i="5" s="1"/>
  <c r="AM166" i="5" s="1"/>
  <c r="AI228" i="5"/>
  <c r="AJ228" i="5" s="1"/>
  <c r="J265" i="5"/>
  <c r="F203" i="6"/>
  <c r="G224" i="5"/>
  <c r="G291" i="5" s="1"/>
  <c r="G358" i="5" s="1"/>
  <c r="G425" i="5" s="1"/>
  <c r="E265" i="5"/>
  <c r="AM155" i="5"/>
  <c r="AM203" i="5"/>
  <c r="F222" i="5"/>
  <c r="F289" i="5" s="1"/>
  <c r="AM171" i="5"/>
  <c r="AI167" i="5"/>
  <c r="AJ167" i="5" s="1"/>
  <c r="G266" i="5"/>
  <c r="AI266" i="5" s="1"/>
  <c r="AJ266" i="5" s="1"/>
  <c r="AM163" i="5"/>
  <c r="H91" i="4"/>
  <c r="H90" i="4"/>
  <c r="H92" i="4"/>
  <c r="H114" i="4" s="1"/>
  <c r="H89" i="4"/>
  <c r="H83" i="4"/>
  <c r="AF83" i="4" s="1"/>
  <c r="H86" i="4"/>
  <c r="H87" i="4"/>
  <c r="H109" i="4" s="1"/>
  <c r="H88" i="4"/>
  <c r="AM220" i="5"/>
  <c r="F89" i="4"/>
  <c r="AG89" i="4" s="1"/>
  <c r="AH89" i="4" s="1"/>
  <c r="AG67" i="4"/>
  <c r="AH67" i="4" s="1"/>
  <c r="H158" i="6"/>
  <c r="AF158" i="6" s="1"/>
  <c r="E260" i="5"/>
  <c r="E327" i="5" s="1"/>
  <c r="E394" i="5" s="1"/>
  <c r="E461" i="5" s="1"/>
  <c r="F90" i="4"/>
  <c r="AG90" i="4" s="1"/>
  <c r="AH90" i="4" s="1"/>
  <c r="AG68" i="4"/>
  <c r="AH68" i="4" s="1"/>
  <c r="E110" i="4"/>
  <c r="E132" i="4" s="1"/>
  <c r="E154" i="4" s="1"/>
  <c r="E176" i="4" s="1"/>
  <c r="E114" i="4"/>
  <c r="E136" i="4" s="1"/>
  <c r="E158" i="4" s="1"/>
  <c r="E180" i="4" s="1"/>
  <c r="J110" i="4"/>
  <c r="J132" i="4" s="1"/>
  <c r="J154" i="4" s="1"/>
  <c r="J176" i="4" s="1"/>
  <c r="H151" i="6"/>
  <c r="AF151" i="6" s="1"/>
  <c r="H164" i="6"/>
  <c r="E189" i="6"/>
  <c r="E231" i="6" s="1"/>
  <c r="E273" i="6" s="1"/>
  <c r="E315" i="6" s="1"/>
  <c r="J83" i="4"/>
  <c r="J71" i="4"/>
  <c r="E153" i="6"/>
  <c r="E169" i="6"/>
  <c r="E238" i="5"/>
  <c r="J229" i="5"/>
  <c r="E200" i="6"/>
  <c r="E242" i="6" s="1"/>
  <c r="E284" i="6" s="1"/>
  <c r="E326" i="6" s="1"/>
  <c r="J146" i="6"/>
  <c r="J150" i="6"/>
  <c r="J162" i="6"/>
  <c r="J166" i="6"/>
  <c r="J113" i="4"/>
  <c r="J135" i="4" s="1"/>
  <c r="J157" i="4" s="1"/>
  <c r="J179" i="4" s="1"/>
  <c r="J151" i="6"/>
  <c r="J155" i="6"/>
  <c r="J159" i="6"/>
  <c r="J163" i="6"/>
  <c r="J167" i="6"/>
  <c r="J171" i="6"/>
  <c r="E232" i="5"/>
  <c r="J144" i="6"/>
  <c r="J224" i="5"/>
  <c r="J232" i="5"/>
  <c r="J248" i="5"/>
  <c r="J272" i="5"/>
  <c r="J191" i="6"/>
  <c r="J233" i="6" s="1"/>
  <c r="J275" i="6" s="1"/>
  <c r="J317" i="6" s="1"/>
  <c r="J223" i="5"/>
  <c r="AM188" i="5"/>
  <c r="F87" i="4"/>
  <c r="AG87" i="4" s="1"/>
  <c r="AH87" i="4" s="1"/>
  <c r="AG65" i="4"/>
  <c r="AH65" i="4" s="1"/>
  <c r="J108" i="4"/>
  <c r="J130" i="4" s="1"/>
  <c r="J152" i="4" s="1"/>
  <c r="J174" i="4" s="1"/>
  <c r="E86" i="4"/>
  <c r="J114" i="4"/>
  <c r="J136" i="4" s="1"/>
  <c r="J158" i="4" s="1"/>
  <c r="J180" i="4" s="1"/>
  <c r="J84" i="4"/>
  <c r="E322" i="5"/>
  <c r="E389" i="5" s="1"/>
  <c r="E456" i="5" s="1"/>
  <c r="E150" i="6"/>
  <c r="E157" i="6"/>
  <c r="J145" i="6"/>
  <c r="I145" i="6" s="1"/>
  <c r="E286" i="5"/>
  <c r="E353" i="5" s="1"/>
  <c r="E420" i="5" s="1"/>
  <c r="E242" i="5"/>
  <c r="J233" i="5"/>
  <c r="E151" i="6"/>
  <c r="E83" i="4"/>
  <c r="E148" i="6"/>
  <c r="J234" i="5"/>
  <c r="J242" i="5"/>
  <c r="J152" i="6"/>
  <c r="E212" i="6"/>
  <c r="E254" i="6" s="1"/>
  <c r="E296" i="6" s="1"/>
  <c r="E338" i="6" s="1"/>
  <c r="J243" i="5"/>
  <c r="J271" i="5"/>
  <c r="J169" i="6"/>
  <c r="E248" i="5"/>
  <c r="E315" i="5" s="1"/>
  <c r="E382" i="5" s="1"/>
  <c r="E449" i="5" s="1"/>
  <c r="H187" i="6"/>
  <c r="E191" i="6"/>
  <c r="E233" i="6" s="1"/>
  <c r="E275" i="6" s="1"/>
  <c r="E317" i="6" s="1"/>
  <c r="E106" i="4"/>
  <c r="E128" i="4" s="1"/>
  <c r="E150" i="4" s="1"/>
  <c r="E172" i="4" s="1"/>
  <c r="E161" i="6"/>
  <c r="E187" i="6"/>
  <c r="E229" i="6" s="1"/>
  <c r="E271" i="6" s="1"/>
  <c r="E313" i="6" s="1"/>
  <c r="J237" i="5"/>
  <c r="J269" i="5"/>
  <c r="E188" i="6"/>
  <c r="E230" i="6" s="1"/>
  <c r="E272" i="6" s="1"/>
  <c r="E314" i="6" s="1"/>
  <c r="E155" i="6"/>
  <c r="J236" i="5"/>
  <c r="J244" i="5"/>
  <c r="J252" i="5"/>
  <c r="E109" i="4"/>
  <c r="E131" i="4" s="1"/>
  <c r="E153" i="4" s="1"/>
  <c r="E175" i="4" s="1"/>
  <c r="F85" i="4"/>
  <c r="AG85" i="4" s="1"/>
  <c r="AH85" i="4" s="1"/>
  <c r="AG63" i="4"/>
  <c r="AH63" i="4" s="1"/>
  <c r="J231" i="5"/>
  <c r="J247" i="5"/>
  <c r="J263" i="5"/>
  <c r="F91" i="4"/>
  <c r="AG91" i="4" s="1"/>
  <c r="AH91" i="4" s="1"/>
  <c r="AG69" i="4"/>
  <c r="AH69" i="4" s="1"/>
  <c r="J173" i="6"/>
  <c r="H227" i="5"/>
  <c r="E291" i="5"/>
  <c r="E358" i="5" s="1"/>
  <c r="E425" i="5" s="1"/>
  <c r="H338" i="5"/>
  <c r="H270" i="5"/>
  <c r="E330" i="5"/>
  <c r="E397" i="5" s="1"/>
  <c r="E464" i="5" s="1"/>
  <c r="H153" i="6"/>
  <c r="J157" i="6"/>
  <c r="J219" i="5"/>
  <c r="N219" i="5" s="1"/>
  <c r="E234" i="5"/>
  <c r="E250" i="5"/>
  <c r="J257" i="5"/>
  <c r="S26" i="4"/>
  <c r="E159" i="6"/>
  <c r="E156" i="6"/>
  <c r="J222" i="5"/>
  <c r="J230" i="5"/>
  <c r="J238" i="5"/>
  <c r="J254" i="5"/>
  <c r="J270" i="5"/>
  <c r="E196" i="6"/>
  <c r="E238" i="6" s="1"/>
  <c r="E280" i="6" s="1"/>
  <c r="E322" i="6" s="1"/>
  <c r="H150" i="6"/>
  <c r="AF150" i="6" s="1"/>
  <c r="J164" i="6"/>
  <c r="T46" i="6"/>
  <c r="AG168" i="6"/>
  <c r="AH168" i="6" s="1"/>
  <c r="F59" i="14"/>
  <c r="F41" i="14" s="1"/>
  <c r="AG126" i="6"/>
  <c r="AH126" i="6" s="1"/>
  <c r="F147" i="6"/>
  <c r="F189" i="6" s="1"/>
  <c r="F151" i="6"/>
  <c r="F193" i="6" s="1"/>
  <c r="H173" i="6"/>
  <c r="AF173" i="6" s="1"/>
  <c r="F165" i="6"/>
  <c r="E152" i="6"/>
  <c r="E168" i="6"/>
  <c r="H166" i="6"/>
  <c r="AF166" i="6" s="1"/>
  <c r="F152" i="6"/>
  <c r="AG152" i="6" s="1"/>
  <c r="AH152" i="6" s="1"/>
  <c r="AG89" i="6"/>
  <c r="AG163" i="6"/>
  <c r="AH163" i="6" s="1"/>
  <c r="F205" i="6"/>
  <c r="AI205" i="5"/>
  <c r="AJ205" i="5" s="1"/>
  <c r="E314" i="5"/>
  <c r="E381" i="5" s="1"/>
  <c r="E448" i="5" s="1"/>
  <c r="H262" i="5"/>
  <c r="H229" i="5"/>
  <c r="G230" i="5"/>
  <c r="AI230" i="5" s="1"/>
  <c r="AJ230" i="5" s="1"/>
  <c r="H230" i="5"/>
  <c r="AG247" i="5"/>
  <c r="AH247" i="5" s="1"/>
  <c r="H248" i="5"/>
  <c r="AM154" i="5"/>
  <c r="H243" i="5"/>
  <c r="H266" i="5"/>
  <c r="AK162" i="5"/>
  <c r="AL162" i="5" s="1"/>
  <c r="AM162" i="5" s="1"/>
  <c r="AK206" i="5"/>
  <c r="AL206" i="5" s="1"/>
  <c r="AM206" i="5" s="1"/>
  <c r="H264" i="5"/>
  <c r="AI206" i="5"/>
  <c r="AJ206" i="5" s="1"/>
  <c r="H257" i="5"/>
  <c r="G233" i="5"/>
  <c r="G300" i="5" s="1"/>
  <c r="G367" i="5" s="1"/>
  <c r="G434" i="5" s="1"/>
  <c r="J221" i="5"/>
  <c r="E316" i="5"/>
  <c r="E383" i="5" s="1"/>
  <c r="E450" i="5" s="1"/>
  <c r="H234" i="5"/>
  <c r="H265" i="5"/>
  <c r="H259" i="5"/>
  <c r="H241" i="5"/>
  <c r="AK181" i="5"/>
  <c r="AL181" i="5" s="1"/>
  <c r="AM181" i="5" s="1"/>
  <c r="F327" i="5"/>
  <c r="AI163" i="5"/>
  <c r="AJ163" i="5" s="1"/>
  <c r="E261" i="5"/>
  <c r="AK205" i="5"/>
  <c r="AL205" i="5" s="1"/>
  <c r="AM205" i="5" s="1"/>
  <c r="AI169" i="5"/>
  <c r="AJ169" i="5" s="1"/>
  <c r="AK170" i="5"/>
  <c r="AL170" i="5" s="1"/>
  <c r="AM170" i="5" s="1"/>
  <c r="AI181" i="5"/>
  <c r="AJ181" i="5" s="1"/>
  <c r="H321" i="5"/>
  <c r="G295" i="5"/>
  <c r="AI153" i="5"/>
  <c r="AJ153" i="5" s="1"/>
  <c r="E290" i="5"/>
  <c r="E357" i="5" s="1"/>
  <c r="E424" i="5" s="1"/>
  <c r="G236" i="5"/>
  <c r="AK236" i="5" s="1"/>
  <c r="AL236" i="5" s="1"/>
  <c r="AI160" i="5"/>
  <c r="AJ160" i="5" s="1"/>
  <c r="H226" i="5"/>
  <c r="AK153" i="5"/>
  <c r="AL153" i="5" s="1"/>
  <c r="AM153" i="5" s="1"/>
  <c r="F236" i="5"/>
  <c r="AG236" i="5" s="1"/>
  <c r="AH236" i="5" s="1"/>
  <c r="G232" i="5"/>
  <c r="AI232" i="5" s="1"/>
  <c r="AJ232" i="5" s="1"/>
  <c r="AI155" i="5"/>
  <c r="AJ155" i="5" s="1"/>
  <c r="AI220" i="5"/>
  <c r="AJ220" i="5" s="1"/>
  <c r="AI203" i="5"/>
  <c r="AJ203" i="5" s="1"/>
  <c r="AG193" i="5"/>
  <c r="AH193" i="5" s="1"/>
  <c r="E333" i="5"/>
  <c r="E400" i="5" s="1"/>
  <c r="E467" i="5" s="1"/>
  <c r="G287" i="5"/>
  <c r="AG172" i="5"/>
  <c r="AH172" i="5" s="1"/>
  <c r="AK177" i="5"/>
  <c r="AL177" i="5" s="1"/>
  <c r="AM177" i="5" s="1"/>
  <c r="E289" i="5"/>
  <c r="E356" i="5" s="1"/>
  <c r="E423" i="5" s="1"/>
  <c r="AG139" i="5"/>
  <c r="G269" i="5"/>
  <c r="AK269" i="5" s="1"/>
  <c r="AL269" i="5" s="1"/>
  <c r="AI177" i="5"/>
  <c r="AJ177" i="5" s="1"/>
  <c r="E241" i="5"/>
  <c r="AM184" i="5"/>
  <c r="AG271" i="5"/>
  <c r="AH271" i="5" s="1"/>
  <c r="AK179" i="5"/>
  <c r="AL179" i="5" s="1"/>
  <c r="AM179" i="5" s="1"/>
  <c r="G246" i="5"/>
  <c r="AI179" i="5"/>
  <c r="AJ179" i="5" s="1"/>
  <c r="AI185" i="5"/>
  <c r="AJ185" i="5" s="1"/>
  <c r="AK185" i="5"/>
  <c r="AL185" i="5" s="1"/>
  <c r="AM185" i="5" s="1"/>
  <c r="G252" i="5"/>
  <c r="AK191" i="5"/>
  <c r="AL191" i="5" s="1"/>
  <c r="AM191" i="5" s="1"/>
  <c r="G258" i="5"/>
  <c r="AI191" i="5"/>
  <c r="AJ191" i="5" s="1"/>
  <c r="H258" i="5"/>
  <c r="G251" i="5"/>
  <c r="AK251" i="5" s="1"/>
  <c r="AL251" i="5" s="1"/>
  <c r="G237" i="5"/>
  <c r="G304" i="5" s="1"/>
  <c r="G371" i="5" s="1"/>
  <c r="G438" i="5" s="1"/>
  <c r="AI200" i="5"/>
  <c r="AJ200" i="5" s="1"/>
  <c r="E244" i="5"/>
  <c r="E311" i="5" s="1"/>
  <c r="E378" i="5" s="1"/>
  <c r="E445" i="5" s="1"/>
  <c r="E257" i="5"/>
  <c r="H246" i="5"/>
  <c r="AI173" i="5"/>
  <c r="AJ173" i="5" s="1"/>
  <c r="AK173" i="5"/>
  <c r="AL173" i="5" s="1"/>
  <c r="AM173" i="5" s="1"/>
  <c r="G240" i="5"/>
  <c r="AK183" i="5"/>
  <c r="AL183" i="5" s="1"/>
  <c r="AM183" i="5" s="1"/>
  <c r="G250" i="5"/>
  <c r="AI183" i="5"/>
  <c r="AJ183" i="5" s="1"/>
  <c r="G256" i="5"/>
  <c r="AK189" i="5"/>
  <c r="AL189" i="5" s="1"/>
  <c r="AM189" i="5" s="1"/>
  <c r="AI189" i="5"/>
  <c r="AJ189" i="5" s="1"/>
  <c r="AK195" i="5"/>
  <c r="AL195" i="5" s="1"/>
  <c r="AM195" i="5" s="1"/>
  <c r="AI195" i="5"/>
  <c r="AJ195" i="5" s="1"/>
  <c r="G262" i="5"/>
  <c r="E253" i="5"/>
  <c r="E269" i="5"/>
  <c r="AK197" i="5"/>
  <c r="AL197" i="5" s="1"/>
  <c r="AM197" i="5" s="1"/>
  <c r="AI197" i="5"/>
  <c r="AJ197" i="5" s="1"/>
  <c r="G264" i="5"/>
  <c r="AI184" i="5"/>
  <c r="AJ184" i="5" s="1"/>
  <c r="G222" i="5"/>
  <c r="AK222" i="5" s="1"/>
  <c r="AL222" i="5" s="1"/>
  <c r="AK200" i="5"/>
  <c r="AL200" i="5" s="1"/>
  <c r="AM200" i="5" s="1"/>
  <c r="G270" i="5"/>
  <c r="AK270" i="5" s="1"/>
  <c r="AL270" i="5" s="1"/>
  <c r="H232" i="5"/>
  <c r="AM156" i="5"/>
  <c r="AK159" i="5"/>
  <c r="AL159" i="5" s="1"/>
  <c r="AM159" i="5" s="1"/>
  <c r="AI159" i="5"/>
  <c r="AJ159" i="5" s="1"/>
  <c r="G226" i="5"/>
  <c r="AI187" i="5"/>
  <c r="AJ187" i="5" s="1"/>
  <c r="G254" i="5"/>
  <c r="AK187" i="5"/>
  <c r="AL187" i="5" s="1"/>
  <c r="AM187" i="5" s="1"/>
  <c r="AK193" i="5"/>
  <c r="AL193" i="5" s="1"/>
  <c r="AM193" i="5" s="1"/>
  <c r="AI193" i="5"/>
  <c r="AJ193" i="5" s="1"/>
  <c r="G260" i="5"/>
  <c r="AI201" i="5"/>
  <c r="AJ201" i="5" s="1"/>
  <c r="G268" i="5"/>
  <c r="AK201" i="5"/>
  <c r="AL201" i="5" s="1"/>
  <c r="AM201" i="5" s="1"/>
  <c r="E229" i="5"/>
  <c r="E245" i="5"/>
  <c r="AK165" i="5"/>
  <c r="AL165" i="5" s="1"/>
  <c r="AM165" i="5" s="1"/>
  <c r="J239" i="5"/>
  <c r="AG205" i="5"/>
  <c r="AH205" i="5" s="1"/>
  <c r="H238" i="5"/>
  <c r="F255" i="5"/>
  <c r="AG188" i="5"/>
  <c r="AH188" i="5" s="1"/>
  <c r="AI175" i="5"/>
  <c r="AJ175" i="5" s="1"/>
  <c r="G242" i="5"/>
  <c r="AK175" i="5"/>
  <c r="AL175" i="5" s="1"/>
  <c r="AM175" i="5" s="1"/>
  <c r="E221" i="5"/>
  <c r="E237" i="5"/>
  <c r="E273" i="5"/>
  <c r="F226" i="5"/>
  <c r="AG159" i="5"/>
  <c r="AH159" i="5" s="1"/>
  <c r="F92" i="4"/>
  <c r="AG92" i="4" s="1"/>
  <c r="AH92" i="4" s="1"/>
  <c r="F83" i="4"/>
  <c r="AG83" i="4" s="1"/>
  <c r="AH83" i="4" s="1"/>
  <c r="E90" i="4"/>
  <c r="F88" i="4"/>
  <c r="AG88" i="4" s="1"/>
  <c r="AH88" i="4" s="1"/>
  <c r="H84" i="4"/>
  <c r="J109" i="4"/>
  <c r="J131" i="4" s="1"/>
  <c r="J153" i="4" s="1"/>
  <c r="J175" i="4" s="1"/>
  <c r="J89" i="4"/>
  <c r="J85" i="4"/>
  <c r="E111" i="4"/>
  <c r="E133" i="4" s="1"/>
  <c r="E155" i="4" s="1"/>
  <c r="E177" i="4" s="1"/>
  <c r="F86" i="4"/>
  <c r="AG86" i="4" s="1"/>
  <c r="AH86" i="4" s="1"/>
  <c r="E113" i="4"/>
  <c r="E135" i="4" s="1"/>
  <c r="E157" i="4" s="1"/>
  <c r="E179" i="4" s="1"/>
  <c r="F84" i="4"/>
  <c r="AG84" i="4" s="1"/>
  <c r="AH84" i="4" s="1"/>
  <c r="G72" i="11"/>
  <c r="H211" i="6"/>
  <c r="AG131" i="6"/>
  <c r="AH131" i="6" s="1"/>
  <c r="H172" i="6"/>
  <c r="AF172" i="6" s="1"/>
  <c r="J132" i="6"/>
  <c r="H58" i="14" s="1"/>
  <c r="H44" i="14" s="1"/>
  <c r="G322" i="5"/>
  <c r="F339" i="5"/>
  <c r="AK255" i="5"/>
  <c r="AL255" i="5" s="1"/>
  <c r="AI168" i="5"/>
  <c r="AJ168" i="5" s="1"/>
  <c r="AI202" i="5"/>
  <c r="AJ202" i="5" s="1"/>
  <c r="J255" i="5"/>
  <c r="H302" i="5"/>
  <c r="AK168" i="5"/>
  <c r="AL168" i="5" s="1"/>
  <c r="AM168" i="5" s="1"/>
  <c r="F264" i="5"/>
  <c r="AG264" i="5" s="1"/>
  <c r="AH264" i="5" s="1"/>
  <c r="J207" i="5"/>
  <c r="H57" i="14" s="1"/>
  <c r="H43" i="14" s="1"/>
  <c r="H334" i="5"/>
  <c r="E326" i="5"/>
  <c r="E393" i="5" s="1"/>
  <c r="E460" i="5" s="1"/>
  <c r="AM160" i="5"/>
  <c r="G63" i="11"/>
  <c r="G71" i="11"/>
  <c r="H199" i="7"/>
  <c r="F71" i="11" s="1"/>
  <c r="H76" i="14"/>
  <c r="F76" i="14"/>
  <c r="G76" i="14"/>
  <c r="H19" i="7"/>
  <c r="H41" i="7" s="1"/>
  <c r="I70" i="14"/>
  <c r="J77" i="3"/>
  <c r="U16" i="9"/>
  <c r="AK198" i="5"/>
  <c r="AL198" i="5" s="1"/>
  <c r="AM198" i="5" s="1"/>
  <c r="G265" i="5"/>
  <c r="AI198" i="5"/>
  <c r="AJ198" i="5" s="1"/>
  <c r="E167" i="6"/>
  <c r="H225" i="5"/>
  <c r="AH61" i="6"/>
  <c r="T13" i="9"/>
  <c r="AH139" i="5"/>
  <c r="G227" i="5"/>
  <c r="G294" i="5" s="1"/>
  <c r="G361" i="5" s="1"/>
  <c r="G428" i="5" s="1"/>
  <c r="H249" i="5"/>
  <c r="E206" i="6"/>
  <c r="E248" i="6" s="1"/>
  <c r="E290" i="6" s="1"/>
  <c r="E332" i="6" s="1"/>
  <c r="F150" i="6"/>
  <c r="AG108" i="6"/>
  <c r="AH108" i="6" s="1"/>
  <c r="G245" i="5"/>
  <c r="AI178" i="5"/>
  <c r="AJ178" i="5" s="1"/>
  <c r="AK178" i="5"/>
  <c r="AL178" i="5" s="1"/>
  <c r="AM178" i="5" s="1"/>
  <c r="G249" i="5"/>
  <c r="AI182" i="5"/>
  <c r="AJ182" i="5" s="1"/>
  <c r="AK182" i="5"/>
  <c r="AL182" i="5" s="1"/>
  <c r="AM182" i="5" s="1"/>
  <c r="G253" i="5"/>
  <c r="AI186" i="5"/>
  <c r="AJ186" i="5" s="1"/>
  <c r="AK186" i="5"/>
  <c r="AL186" i="5" s="1"/>
  <c r="AM186" i="5" s="1"/>
  <c r="G259" i="5"/>
  <c r="AK192" i="5"/>
  <c r="AL192" i="5" s="1"/>
  <c r="AM192" i="5" s="1"/>
  <c r="AI192" i="5"/>
  <c r="AJ192" i="5" s="1"/>
  <c r="F220" i="5"/>
  <c r="AG153" i="5"/>
  <c r="AH153" i="5" s="1"/>
  <c r="AG161" i="5"/>
  <c r="AH161" i="5" s="1"/>
  <c r="F228" i="5"/>
  <c r="F248" i="5"/>
  <c r="AG181" i="5"/>
  <c r="AH181" i="5" s="1"/>
  <c r="F268" i="5"/>
  <c r="AG201" i="5"/>
  <c r="AH201" i="5" s="1"/>
  <c r="AG112" i="6"/>
  <c r="AH112" i="6" s="1"/>
  <c r="F154" i="6"/>
  <c r="AG120" i="6"/>
  <c r="AH120" i="6" s="1"/>
  <c r="F162" i="6"/>
  <c r="H261" i="5"/>
  <c r="F70" i="14"/>
  <c r="AG128" i="6"/>
  <c r="AH128" i="6" s="1"/>
  <c r="F170" i="6"/>
  <c r="G263" i="5"/>
  <c r="AI196" i="5"/>
  <c r="AJ196" i="5" s="1"/>
  <c r="AK196" i="5"/>
  <c r="AL196" i="5" s="1"/>
  <c r="AM196" i="5" s="1"/>
  <c r="AG263" i="5"/>
  <c r="AH263" i="5" s="1"/>
  <c r="F330" i="5"/>
  <c r="F252" i="5"/>
  <c r="AG185" i="5"/>
  <c r="AH185" i="5" s="1"/>
  <c r="H147" i="6"/>
  <c r="AF147" i="6" s="1"/>
  <c r="H162" i="6"/>
  <c r="AF162" i="6" s="1"/>
  <c r="H273" i="5"/>
  <c r="H253" i="5"/>
  <c r="H245" i="5"/>
  <c r="H233" i="5"/>
  <c r="J31" i="2"/>
  <c r="L38" i="3" s="1"/>
  <c r="AK158" i="5"/>
  <c r="AL158" i="5" s="1"/>
  <c r="AM158" i="5" s="1"/>
  <c r="G225" i="5"/>
  <c r="AI158" i="5"/>
  <c r="AJ158" i="5" s="1"/>
  <c r="AI164" i="5"/>
  <c r="AJ164" i="5" s="1"/>
  <c r="AK164" i="5"/>
  <c r="AL164" i="5" s="1"/>
  <c r="AM164" i="5" s="1"/>
  <c r="G231" i="5"/>
  <c r="AI172" i="5"/>
  <c r="AJ172" i="5" s="1"/>
  <c r="G239" i="5"/>
  <c r="AK172" i="5"/>
  <c r="AL172" i="5" s="1"/>
  <c r="AM172" i="5" s="1"/>
  <c r="AK174" i="5"/>
  <c r="AL174" i="5" s="1"/>
  <c r="AM174" i="5" s="1"/>
  <c r="G241" i="5"/>
  <c r="AI174" i="5"/>
  <c r="AJ174" i="5" s="1"/>
  <c r="AI204" i="5"/>
  <c r="AJ204" i="5" s="1"/>
  <c r="AK204" i="5"/>
  <c r="AL204" i="5" s="1"/>
  <c r="AM204" i="5" s="1"/>
  <c r="G271" i="5"/>
  <c r="H170" i="6"/>
  <c r="AF170" i="6" s="1"/>
  <c r="H269" i="5"/>
  <c r="H237" i="5"/>
  <c r="G70" i="14"/>
  <c r="T17" i="9"/>
  <c r="H318" i="5"/>
  <c r="E306" i="5"/>
  <c r="E373" i="5" s="1"/>
  <c r="E440" i="5" s="1"/>
  <c r="H322" i="5"/>
  <c r="AI176" i="5"/>
  <c r="AJ176" i="5" s="1"/>
  <c r="AK176" i="5"/>
  <c r="AL176" i="5" s="1"/>
  <c r="AM176" i="5" s="1"/>
  <c r="G243" i="5"/>
  <c r="G257" i="5"/>
  <c r="AI190" i="5"/>
  <c r="AJ190" i="5" s="1"/>
  <c r="AK190" i="5"/>
  <c r="AL190" i="5" s="1"/>
  <c r="AM190" i="5" s="1"/>
  <c r="G261" i="5"/>
  <c r="AI194" i="5"/>
  <c r="AJ194" i="5" s="1"/>
  <c r="AK194" i="5"/>
  <c r="AL194" i="5" s="1"/>
  <c r="AM194" i="5" s="1"/>
  <c r="H306" i="5"/>
  <c r="AG157" i="5"/>
  <c r="AH157" i="5" s="1"/>
  <c r="F224" i="5"/>
  <c r="F232" i="5"/>
  <c r="AG165" i="5"/>
  <c r="AH165" i="5" s="1"/>
  <c r="AG177" i="5"/>
  <c r="AH177" i="5" s="1"/>
  <c r="F244" i="5"/>
  <c r="AG189" i="5"/>
  <c r="AH189" i="5" s="1"/>
  <c r="F256" i="5"/>
  <c r="AG104" i="6"/>
  <c r="AH104" i="6" s="1"/>
  <c r="F146" i="6"/>
  <c r="AG124" i="6"/>
  <c r="AH124" i="6" s="1"/>
  <c r="F166" i="6"/>
  <c r="H168" i="6"/>
  <c r="AF168" i="6" s="1"/>
  <c r="H107" i="4"/>
  <c r="AM180" i="5"/>
  <c r="H167" i="6"/>
  <c r="AF167" i="6" s="1"/>
  <c r="G45" i="13"/>
  <c r="E220" i="5"/>
  <c r="AG174" i="5"/>
  <c r="AH174" i="5" s="1"/>
  <c r="F241" i="5"/>
  <c r="AG206" i="5"/>
  <c r="AH206" i="5" s="1"/>
  <c r="F273" i="5"/>
  <c r="AG182" i="5"/>
  <c r="AH182" i="5" s="1"/>
  <c r="F249" i="5"/>
  <c r="H263" i="5"/>
  <c r="H231" i="5"/>
  <c r="H30" i="7"/>
  <c r="F225" i="5"/>
  <c r="AG158" i="5"/>
  <c r="AH158" i="5" s="1"/>
  <c r="AG190" i="5"/>
  <c r="AH190" i="5" s="1"/>
  <c r="F257" i="5"/>
  <c r="AI247" i="5"/>
  <c r="AJ247" i="5" s="1"/>
  <c r="AK247" i="5"/>
  <c r="AL247" i="5" s="1"/>
  <c r="G314" i="5"/>
  <c r="G381" i="5" s="1"/>
  <c r="G448" i="5" s="1"/>
  <c r="H290" i="5"/>
  <c r="E173" i="6"/>
  <c r="AG125" i="6"/>
  <c r="AH125" i="6" s="1"/>
  <c r="F167" i="6"/>
  <c r="E321" i="5"/>
  <c r="E388" i="5" s="1"/>
  <c r="E455" i="5" s="1"/>
  <c r="H247" i="5"/>
  <c r="J148" i="6"/>
  <c r="J55" i="12"/>
  <c r="I40" i="16" s="1"/>
  <c r="F233" i="5"/>
  <c r="AG166" i="5"/>
  <c r="AH166" i="5" s="1"/>
  <c r="F265" i="5"/>
  <c r="AG198" i="5"/>
  <c r="AH198" i="5" s="1"/>
  <c r="E165" i="6"/>
  <c r="H152" i="6"/>
  <c r="AF152" i="6" s="1"/>
  <c r="H272" i="5"/>
  <c r="H256" i="5"/>
  <c r="H240" i="5"/>
  <c r="H224" i="5"/>
  <c r="H201" i="6"/>
  <c r="H202" i="6"/>
  <c r="E302" i="5"/>
  <c r="E369" i="5" s="1"/>
  <c r="E436" i="5" s="1"/>
  <c r="H157" i="6"/>
  <c r="AF157" i="6" s="1"/>
  <c r="H148" i="6"/>
  <c r="AF148" i="6" s="1"/>
  <c r="H161" i="6"/>
  <c r="AF161" i="6" s="1"/>
  <c r="H146" i="6"/>
  <c r="AF146" i="6" s="1"/>
  <c r="H198" i="6"/>
  <c r="AG162" i="5"/>
  <c r="AH162" i="5" s="1"/>
  <c r="F229" i="5"/>
  <c r="F237" i="5"/>
  <c r="AG170" i="5"/>
  <c r="AH170" i="5" s="1"/>
  <c r="AG178" i="5"/>
  <c r="AH178" i="5" s="1"/>
  <c r="F245" i="5"/>
  <c r="F253" i="5"/>
  <c r="AG186" i="5"/>
  <c r="AH186" i="5" s="1"/>
  <c r="AG194" i="5"/>
  <c r="AH194" i="5" s="1"/>
  <c r="F261" i="5"/>
  <c r="F269" i="5"/>
  <c r="AG202" i="5"/>
  <c r="AH202" i="5" s="1"/>
  <c r="F153" i="6"/>
  <c r="AG111" i="6"/>
  <c r="AH111" i="6" s="1"/>
  <c r="F159" i="6"/>
  <c r="AG117" i="6"/>
  <c r="AH117" i="6" s="1"/>
  <c r="J46" i="12"/>
  <c r="I39" i="16" s="1"/>
  <c r="K44" i="12"/>
  <c r="G26" i="13"/>
  <c r="G27" i="13" s="1"/>
  <c r="AG154" i="5"/>
  <c r="AH154" i="5" s="1"/>
  <c r="F221" i="5"/>
  <c r="AG168" i="5"/>
  <c r="AH168" i="5" s="1"/>
  <c r="F235" i="5"/>
  <c r="F243" i="5"/>
  <c r="AG176" i="5"/>
  <c r="AH176" i="5" s="1"/>
  <c r="AG184" i="5"/>
  <c r="AH184" i="5" s="1"/>
  <c r="F251" i="5"/>
  <c r="F259" i="5"/>
  <c r="AG192" i="5"/>
  <c r="AH192" i="5" s="1"/>
  <c r="F267" i="5"/>
  <c r="AG200" i="5"/>
  <c r="AH200" i="5" s="1"/>
  <c r="AG103" i="6"/>
  <c r="AH103" i="6" s="1"/>
  <c r="F145" i="6"/>
  <c r="F157" i="6"/>
  <c r="AG115" i="6"/>
  <c r="AH115" i="6" s="1"/>
  <c r="F169" i="6"/>
  <c r="AG127" i="6"/>
  <c r="AH127" i="6" s="1"/>
  <c r="H45" i="13"/>
  <c r="F36" i="10"/>
  <c r="H108" i="7" s="1"/>
  <c r="AG152" i="5"/>
  <c r="F219" i="5"/>
  <c r="F230" i="5"/>
  <c r="AG163" i="5"/>
  <c r="AH163" i="5" s="1"/>
  <c r="AG179" i="5"/>
  <c r="AH179" i="5" s="1"/>
  <c r="F246" i="5"/>
  <c r="AG195" i="5"/>
  <c r="AH195" i="5" s="1"/>
  <c r="F262" i="5"/>
  <c r="F160" i="6"/>
  <c r="AG118" i="6"/>
  <c r="AH118" i="6" s="1"/>
  <c r="E236" i="5"/>
  <c r="AG122" i="6"/>
  <c r="AH122" i="6" s="1"/>
  <c r="F164" i="6"/>
  <c r="E256" i="5"/>
  <c r="F215" i="6"/>
  <c r="AG173" i="6"/>
  <c r="AH173" i="6" s="1"/>
  <c r="E293" i="5"/>
  <c r="E360" i="5" s="1"/>
  <c r="E427" i="5" s="1"/>
  <c r="H155" i="6"/>
  <c r="AF155" i="6" s="1"/>
  <c r="H171" i="6"/>
  <c r="AF171" i="6" s="1"/>
  <c r="H236" i="5"/>
  <c r="H228" i="5"/>
  <c r="E318" i="5"/>
  <c r="E385" i="5" s="1"/>
  <c r="E452" i="5" s="1"/>
  <c r="E313" i="5"/>
  <c r="E380" i="5" s="1"/>
  <c r="E447" i="5" s="1"/>
  <c r="J160" i="6"/>
  <c r="J172" i="6"/>
  <c r="AG191" i="5"/>
  <c r="AH191" i="5" s="1"/>
  <c r="F258" i="5"/>
  <c r="E252" i="5"/>
  <c r="E272" i="5"/>
  <c r="F227" i="5"/>
  <c r="AG160" i="5"/>
  <c r="AH160" i="5" s="1"/>
  <c r="F238" i="5"/>
  <c r="AG171" i="5"/>
  <c r="AH171" i="5" s="1"/>
  <c r="F254" i="5"/>
  <c r="AG187" i="5"/>
  <c r="AH187" i="5" s="1"/>
  <c r="F270" i="5"/>
  <c r="AG203" i="5"/>
  <c r="AH203" i="5" s="1"/>
  <c r="E268" i="5"/>
  <c r="E298" i="5"/>
  <c r="E365" i="5" s="1"/>
  <c r="E432" i="5" s="1"/>
  <c r="J227" i="5"/>
  <c r="J235" i="5"/>
  <c r="J251" i="5"/>
  <c r="J259" i="5"/>
  <c r="J267" i="5"/>
  <c r="H317" i="5"/>
  <c r="H163" i="6"/>
  <c r="AF163" i="6" s="1"/>
  <c r="H268" i="5"/>
  <c r="H260" i="5"/>
  <c r="H252" i="5"/>
  <c r="H244" i="5"/>
  <c r="AG144" i="6"/>
  <c r="AH144" i="6" s="1"/>
  <c r="F172" i="6"/>
  <c r="AG130" i="6"/>
  <c r="AH130" i="6" s="1"/>
  <c r="AG175" i="5"/>
  <c r="AH175" i="5" s="1"/>
  <c r="F242" i="5"/>
  <c r="AG114" i="6"/>
  <c r="F156" i="6"/>
  <c r="F223" i="5"/>
  <c r="AG156" i="5"/>
  <c r="AH156" i="5" s="1"/>
  <c r="F234" i="5"/>
  <c r="AG167" i="5"/>
  <c r="AH167" i="5" s="1"/>
  <c r="AG183" i="5"/>
  <c r="AH183" i="5" s="1"/>
  <c r="F250" i="5"/>
  <c r="F266" i="5"/>
  <c r="AG199" i="5"/>
  <c r="AH199" i="5" s="1"/>
  <c r="E171" i="6"/>
  <c r="E240" i="5"/>
  <c r="E337" i="5"/>
  <c r="E404" i="5" s="1"/>
  <c r="E471" i="5" s="1"/>
  <c r="E214" i="6"/>
  <c r="E256" i="6" s="1"/>
  <c r="E298" i="6" s="1"/>
  <c r="E340" i="6" s="1"/>
  <c r="E294" i="5"/>
  <c r="E361" i="5" s="1"/>
  <c r="E428" i="5" s="1"/>
  <c r="J156" i="6"/>
  <c r="S16" i="9"/>
  <c r="S13" i="9"/>
  <c r="T14" i="9"/>
  <c r="S15" i="9"/>
  <c r="T16" i="9"/>
  <c r="T18" i="9"/>
  <c r="H39" i="10" s="1"/>
  <c r="J111" i="7" s="1"/>
  <c r="S14" i="9"/>
  <c r="S18" i="9"/>
  <c r="H34" i="10"/>
  <c r="J106" i="7" s="1"/>
  <c r="I61" i="2"/>
  <c r="H26" i="13"/>
  <c r="E204" i="6"/>
  <c r="E246" i="6" s="1"/>
  <c r="E288" i="6" s="1"/>
  <c r="E330" i="6" s="1"/>
  <c r="E208" i="6"/>
  <c r="E250" i="6" s="1"/>
  <c r="E292" i="6" s="1"/>
  <c r="E334" i="6" s="1"/>
  <c r="J97" i="3"/>
  <c r="AK273" i="5"/>
  <c r="AL273" i="5" s="1"/>
  <c r="AI273" i="5"/>
  <c r="AJ273" i="5" s="1"/>
  <c r="G340" i="5"/>
  <c r="G407" i="5" s="1"/>
  <c r="G474" i="5" s="1"/>
  <c r="E292" i="5"/>
  <c r="E359" i="5" s="1"/>
  <c r="E426" i="5" s="1"/>
  <c r="AK267" i="5"/>
  <c r="AL267" i="5" s="1"/>
  <c r="AI267" i="5"/>
  <c r="AJ267" i="5" s="1"/>
  <c r="G334" i="5"/>
  <c r="G401" i="5" s="1"/>
  <c r="G468" i="5" s="1"/>
  <c r="E300" i="5"/>
  <c r="E367" i="5" s="1"/>
  <c r="E434" i="5" s="1"/>
  <c r="H297" i="5"/>
  <c r="AK235" i="5"/>
  <c r="AL235" i="5" s="1"/>
  <c r="AI235" i="5"/>
  <c r="AJ235" i="5" s="1"/>
  <c r="G302" i="5"/>
  <c r="G369" i="5" s="1"/>
  <c r="G436" i="5" s="1"/>
  <c r="U18" i="9"/>
  <c r="U13" i="9"/>
  <c r="U17" i="9"/>
  <c r="I38" i="10" s="1"/>
  <c r="K110" i="7" s="1"/>
  <c r="U14" i="9"/>
  <c r="I35" i="10" s="1"/>
  <c r="K107" i="7" s="1"/>
  <c r="G315" i="5"/>
  <c r="G382" i="5" s="1"/>
  <c r="G449" i="5" s="1"/>
  <c r="AI248" i="5"/>
  <c r="AJ248" i="5" s="1"/>
  <c r="AK248" i="5"/>
  <c r="AL248" i="5" s="1"/>
  <c r="J328" i="5"/>
  <c r="J395" i="5" s="1"/>
  <c r="J462" i="5" s="1"/>
  <c r="Z83" i="9"/>
  <c r="Z36" i="9"/>
  <c r="Z76" i="9"/>
  <c r="Z114" i="9"/>
  <c r="Z92" i="9"/>
  <c r="Z45" i="9"/>
  <c r="Z108" i="9"/>
  <c r="Z144" i="9"/>
  <c r="Z69" i="9"/>
  <c r="Z48" i="9"/>
  <c r="Z88" i="9"/>
  <c r="Z96" i="9"/>
  <c r="Z95" i="9"/>
  <c r="Z103" i="9"/>
  <c r="Z82" i="9"/>
  <c r="Z106" i="9"/>
  <c r="Z135" i="9"/>
  <c r="Z46" i="9"/>
  <c r="Z134" i="9"/>
  <c r="Z19" i="9"/>
  <c r="Z139" i="9"/>
  <c r="Z97" i="9"/>
  <c r="Z52" i="9"/>
  <c r="Z22" i="9"/>
  <c r="Z132" i="9"/>
  <c r="Z38" i="9"/>
  <c r="Z61" i="9"/>
  <c r="Z17" i="9"/>
  <c r="Z57" i="9"/>
  <c r="Z31" i="9"/>
  <c r="Z73" i="9"/>
  <c r="Z113" i="9"/>
  <c r="Z62" i="9"/>
  <c r="Z129" i="9"/>
  <c r="Z78" i="9"/>
  <c r="Z41" i="9"/>
  <c r="Z65" i="9"/>
  <c r="Z28" i="9"/>
  <c r="Z116" i="9"/>
  <c r="Z35" i="9"/>
  <c r="Z75" i="9"/>
  <c r="Z145" i="9"/>
  <c r="Z142" i="9"/>
  <c r="Z107" i="9"/>
  <c r="Z115" i="9"/>
  <c r="Z74" i="9"/>
  <c r="Z39" i="9"/>
  <c r="Z79" i="9"/>
  <c r="Z14" i="9"/>
  <c r="F24" i="10" s="1"/>
  <c r="Z102" i="9"/>
  <c r="Z25" i="9"/>
  <c r="Z49" i="9"/>
  <c r="Z137" i="9"/>
  <c r="Z34" i="9"/>
  <c r="Z122" i="9"/>
  <c r="Z125" i="9"/>
  <c r="Z131" i="9"/>
  <c r="Z126" i="9"/>
  <c r="Z27" i="9"/>
  <c r="Z141" i="9"/>
  <c r="Z54" i="9"/>
  <c r="Z120" i="9"/>
  <c r="Z58" i="9"/>
  <c r="Z98" i="9"/>
  <c r="Z138" i="9"/>
  <c r="Z47" i="9"/>
  <c r="Z71" i="9"/>
  <c r="Z63" i="9"/>
  <c r="Z87" i="9"/>
  <c r="Z59" i="9"/>
  <c r="Z67" i="9"/>
  <c r="Z26" i="9"/>
  <c r="Z50" i="9"/>
  <c r="Z37" i="9"/>
  <c r="Z77" i="9"/>
  <c r="Z85" i="9"/>
  <c r="Z84" i="9"/>
  <c r="Z109" i="9"/>
  <c r="Z117" i="9"/>
  <c r="Z32" i="9"/>
  <c r="Z136" i="9"/>
  <c r="Z81" i="9"/>
  <c r="Z20" i="9"/>
  <c r="Z44" i="9"/>
  <c r="Z43" i="9"/>
  <c r="Z51" i="9"/>
  <c r="Z91" i="9"/>
  <c r="Z72" i="9"/>
  <c r="Z80" i="9"/>
  <c r="Z15" i="9"/>
  <c r="Z133" i="9"/>
  <c r="Z68" i="9"/>
  <c r="Z29" i="9"/>
  <c r="Z99" i="9"/>
  <c r="Z60" i="9"/>
  <c r="Z86" i="9"/>
  <c r="Z143" i="9"/>
  <c r="Z140" i="9"/>
  <c r="Z64" i="9"/>
  <c r="Z146" i="9"/>
  <c r="Z119" i="9"/>
  <c r="Z124" i="9"/>
  <c r="Z40" i="9"/>
  <c r="Z55" i="9"/>
  <c r="Z56" i="9"/>
  <c r="Z127" i="9"/>
  <c r="Z121" i="9"/>
  <c r="Z24" i="9"/>
  <c r="Z130" i="9"/>
  <c r="Z93" i="9"/>
  <c r="Z94" i="9"/>
  <c r="Z105" i="9"/>
  <c r="Z90" i="9"/>
  <c r="Z16" i="9"/>
  <c r="Z23" i="9"/>
  <c r="Z33" i="9"/>
  <c r="Z89" i="9"/>
  <c r="Z18" i="9"/>
  <c r="Z104" i="9"/>
  <c r="Z111" i="9"/>
  <c r="Z100" i="9"/>
  <c r="Z123" i="9"/>
  <c r="Z112" i="9"/>
  <c r="Z30" i="9"/>
  <c r="Z13" i="9"/>
  <c r="Z110" i="9"/>
  <c r="Z128" i="9"/>
  <c r="Z21" i="9"/>
  <c r="Z42" i="9"/>
  <c r="Z53" i="9"/>
  <c r="Z70" i="9"/>
  <c r="Z118" i="9"/>
  <c r="Z66" i="9"/>
  <c r="Z101" i="9"/>
  <c r="U34" i="9"/>
  <c r="U39" i="9"/>
  <c r="U37" i="9"/>
  <c r="U61" i="9"/>
  <c r="U49" i="9"/>
  <c r="U83" i="9"/>
  <c r="U53" i="9"/>
  <c r="U137" i="9"/>
  <c r="U114" i="9"/>
  <c r="U116" i="9"/>
  <c r="U24" i="9"/>
  <c r="U109" i="9"/>
  <c r="U118" i="9"/>
  <c r="U139" i="9"/>
  <c r="U62" i="9"/>
  <c r="U105" i="9"/>
  <c r="U145" i="9"/>
  <c r="U92" i="9"/>
  <c r="U128" i="9"/>
  <c r="U97" i="9"/>
  <c r="U20" i="9"/>
  <c r="U113" i="9"/>
  <c r="U134" i="9"/>
  <c r="U115" i="9"/>
  <c r="U120" i="9"/>
  <c r="U59" i="9"/>
  <c r="U41" i="9"/>
  <c r="AC7" i="9"/>
  <c r="U46" i="9"/>
  <c r="U56" i="9"/>
  <c r="U35" i="9"/>
  <c r="U43" i="9"/>
  <c r="U51" i="9"/>
  <c r="U82" i="9"/>
  <c r="U80" i="9"/>
  <c r="U60" i="9"/>
  <c r="U50" i="9"/>
  <c r="U36" i="9"/>
  <c r="U33" i="9"/>
  <c r="U19" i="9"/>
  <c r="U70" i="9"/>
  <c r="U69" i="9"/>
  <c r="U122" i="9"/>
  <c r="U119" i="9"/>
  <c r="U66" i="9"/>
  <c r="U125" i="9"/>
  <c r="U88" i="9"/>
  <c r="U95" i="9"/>
  <c r="U112" i="9"/>
  <c r="U117" i="9"/>
  <c r="U102" i="9"/>
  <c r="U77" i="9"/>
  <c r="U23" i="9"/>
  <c r="U32" i="9"/>
  <c r="U22" i="9"/>
  <c r="U130" i="9"/>
  <c r="U127" i="9"/>
  <c r="U104" i="9"/>
  <c r="U133" i="9"/>
  <c r="U94" i="9"/>
  <c r="U98" i="9"/>
  <c r="U136" i="9"/>
  <c r="U141" i="9"/>
  <c r="U106" i="9"/>
  <c r="U111" i="9"/>
  <c r="U89" i="9"/>
  <c r="U100" i="9"/>
  <c r="U64" i="9"/>
  <c r="U78" i="9"/>
  <c r="U142" i="9"/>
  <c r="U87" i="9"/>
  <c r="U99" i="9"/>
  <c r="U21" i="9"/>
  <c r="U26" i="9"/>
  <c r="U40" i="9"/>
  <c r="U54" i="9"/>
  <c r="U68" i="9"/>
  <c r="U76" i="9"/>
  <c r="U74" i="9"/>
  <c r="U84" i="9"/>
  <c r="U67" i="9"/>
  <c r="U75" i="9"/>
  <c r="U52" i="9"/>
  <c r="U65" i="9"/>
  <c r="U25" i="9"/>
  <c r="U48" i="9"/>
  <c r="U45" i="9"/>
  <c r="U121" i="9"/>
  <c r="U146" i="9"/>
  <c r="U108" i="9"/>
  <c r="U143" i="9"/>
  <c r="U101" i="9"/>
  <c r="U110" i="9"/>
  <c r="U135" i="9"/>
  <c r="U81" i="9"/>
  <c r="U91" i="9"/>
  <c r="U123" i="9"/>
  <c r="U96" i="9"/>
  <c r="U124" i="9"/>
  <c r="U72" i="9"/>
  <c r="U73" i="9"/>
  <c r="U144" i="9"/>
  <c r="U126" i="9"/>
  <c r="U103" i="9"/>
  <c r="U90" i="9"/>
  <c r="U85" i="9"/>
  <c r="U86" i="9"/>
  <c r="U79" i="9"/>
  <c r="U71" i="9"/>
  <c r="U38" i="9"/>
  <c r="U58" i="9"/>
  <c r="U31" i="9"/>
  <c r="U29" i="9"/>
  <c r="U57" i="9"/>
  <c r="U132" i="9"/>
  <c r="U42" i="9"/>
  <c r="U63" i="9"/>
  <c r="U93" i="9"/>
  <c r="U131" i="9"/>
  <c r="U44" i="9"/>
  <c r="U55" i="9"/>
  <c r="U140" i="9"/>
  <c r="U138" i="9"/>
  <c r="U30" i="9"/>
  <c r="U47" i="9"/>
  <c r="U107" i="9"/>
  <c r="U129" i="9"/>
  <c r="U28" i="9"/>
  <c r="U27" i="9"/>
  <c r="AI221" i="5"/>
  <c r="AJ221" i="5" s="1"/>
  <c r="AK221" i="5"/>
  <c r="AL221" i="5" s="1"/>
  <c r="S77" i="9"/>
  <c r="S131" i="9"/>
  <c r="S40" i="9"/>
  <c r="S127" i="9"/>
  <c r="S29" i="9"/>
  <c r="S90" i="9"/>
  <c r="S125" i="9"/>
  <c r="S30" i="9"/>
  <c r="S45" i="9"/>
  <c r="S81" i="9"/>
  <c r="S139" i="9"/>
  <c r="S119" i="9"/>
  <c r="S104" i="9"/>
  <c r="S132" i="9"/>
  <c r="S38" i="9"/>
  <c r="S123" i="9"/>
  <c r="S89" i="9"/>
  <c r="S85" i="9"/>
  <c r="S84" i="9"/>
  <c r="S135" i="9"/>
  <c r="S78" i="9"/>
  <c r="S110" i="9"/>
  <c r="S142" i="9"/>
  <c r="S66" i="9"/>
  <c r="S35" i="9"/>
  <c r="S103" i="9"/>
  <c r="S137" i="9"/>
  <c r="S27" i="9"/>
  <c r="S42" i="9"/>
  <c r="S32" i="9"/>
  <c r="S36" i="9"/>
  <c r="S94" i="9"/>
  <c r="S43" i="9"/>
  <c r="S72" i="9"/>
  <c r="S134" i="9"/>
  <c r="S128" i="9"/>
  <c r="S133" i="9"/>
  <c r="S28" i="9"/>
  <c r="S102" i="9"/>
  <c r="S33" i="9"/>
  <c r="S114" i="9"/>
  <c r="S113" i="9"/>
  <c r="S88" i="9"/>
  <c r="S101" i="9"/>
  <c r="S61" i="9"/>
  <c r="S34" i="9"/>
  <c r="S37" i="9"/>
  <c r="S122" i="9"/>
  <c r="S105" i="9"/>
  <c r="S70" i="9"/>
  <c r="S93" i="9"/>
  <c r="S62" i="9"/>
  <c r="S141" i="9"/>
  <c r="S75" i="9"/>
  <c r="S47" i="9"/>
  <c r="V7" i="9"/>
  <c r="S83" i="9"/>
  <c r="S143" i="9"/>
  <c r="S109" i="9"/>
  <c r="S53" i="9"/>
  <c r="S44" i="9"/>
  <c r="S126" i="9"/>
  <c r="S120" i="9"/>
  <c r="S124" i="9"/>
  <c r="S74" i="9"/>
  <c r="S56" i="9"/>
  <c r="S46" i="9"/>
  <c r="S57" i="9"/>
  <c r="S130" i="9"/>
  <c r="S121" i="9"/>
  <c r="S92" i="9"/>
  <c r="S91" i="9"/>
  <c r="S108" i="9"/>
  <c r="S129" i="9"/>
  <c r="S65" i="9"/>
  <c r="S22" i="9"/>
  <c r="S86" i="9"/>
  <c r="S80" i="9"/>
  <c r="S68" i="9"/>
  <c r="S112" i="9"/>
  <c r="S23" i="9"/>
  <c r="S50" i="9"/>
  <c r="S58" i="9"/>
  <c r="S71" i="9"/>
  <c r="S24" i="9"/>
  <c r="AA7" i="9"/>
  <c r="S118" i="9"/>
  <c r="S39" i="9"/>
  <c r="S79" i="9"/>
  <c r="S145" i="9"/>
  <c r="S140" i="9"/>
  <c r="S64" i="9"/>
  <c r="S48" i="9"/>
  <c r="S59" i="9"/>
  <c r="S111" i="9"/>
  <c r="S54" i="9"/>
  <c r="S55" i="9"/>
  <c r="S116" i="9"/>
  <c r="S67" i="9"/>
  <c r="S63" i="9"/>
  <c r="S100" i="9"/>
  <c r="S25" i="9"/>
  <c r="S31" i="9"/>
  <c r="S96" i="9"/>
  <c r="S117" i="9"/>
  <c r="S76" i="9"/>
  <c r="S98" i="9"/>
  <c r="S26" i="9"/>
  <c r="S136" i="9"/>
  <c r="S41" i="9"/>
  <c r="S21" i="9"/>
  <c r="S138" i="9"/>
  <c r="S52" i="9"/>
  <c r="S49" i="9"/>
  <c r="S107" i="9"/>
  <c r="S106" i="9"/>
  <c r="S146" i="9"/>
  <c r="S95" i="9"/>
  <c r="S99" i="9"/>
  <c r="S87" i="9"/>
  <c r="S20" i="9"/>
  <c r="S115" i="9"/>
  <c r="S51" i="9"/>
  <c r="S60" i="9"/>
  <c r="S144" i="9"/>
  <c r="S19" i="9"/>
  <c r="S82" i="9"/>
  <c r="S97" i="9"/>
  <c r="S73" i="9"/>
  <c r="S69" i="9"/>
  <c r="T62" i="9"/>
  <c r="T81" i="9"/>
  <c r="T83" i="9"/>
  <c r="T138" i="9"/>
  <c r="T25" i="9"/>
  <c r="T139" i="9"/>
  <c r="T67" i="9"/>
  <c r="T38" i="9"/>
  <c r="T46" i="9"/>
  <c r="T70" i="9"/>
  <c r="T132" i="9"/>
  <c r="T112" i="9"/>
  <c r="T60" i="9"/>
  <c r="T103" i="9"/>
  <c r="T102" i="9"/>
  <c r="T128" i="9"/>
  <c r="T55" i="9"/>
  <c r="T101" i="9"/>
  <c r="T142" i="9"/>
  <c r="T44" i="9"/>
  <c r="T26" i="9"/>
  <c r="T64" i="9"/>
  <c r="T86" i="9"/>
  <c r="T137" i="9"/>
  <c r="T144" i="9"/>
  <c r="T58" i="9"/>
  <c r="T51" i="9"/>
  <c r="T97" i="9"/>
  <c r="T52" i="9"/>
  <c r="T78" i="9"/>
  <c r="T80" i="9"/>
  <c r="T94" i="9"/>
  <c r="T61" i="9"/>
  <c r="T71" i="9"/>
  <c r="T40" i="9"/>
  <c r="T54" i="9"/>
  <c r="T66" i="9"/>
  <c r="T110" i="9"/>
  <c r="T100" i="9"/>
  <c r="T85" i="9"/>
  <c r="T49" i="9"/>
  <c r="T56" i="9"/>
  <c r="T89" i="9"/>
  <c r="T131" i="9"/>
  <c r="T104" i="9"/>
  <c r="T82" i="9"/>
  <c r="T33" i="9"/>
  <c r="T114" i="9"/>
  <c r="T140" i="9"/>
  <c r="T135" i="9"/>
  <c r="T19" i="9"/>
  <c r="T39" i="9"/>
  <c r="T21" i="9"/>
  <c r="T79" i="9"/>
  <c r="T111" i="9"/>
  <c r="T59" i="9"/>
  <c r="T133" i="9"/>
  <c r="T43" i="9"/>
  <c r="T28" i="9"/>
  <c r="T119" i="9"/>
  <c r="T88" i="9"/>
  <c r="T108" i="9"/>
  <c r="T125" i="9"/>
  <c r="T57" i="9"/>
  <c r="T90" i="9"/>
  <c r="T27" i="9"/>
  <c r="T72" i="9"/>
  <c r="T31" i="9"/>
  <c r="T48" i="9"/>
  <c r="T130" i="9"/>
  <c r="T41" i="9"/>
  <c r="T36" i="9"/>
  <c r="T98" i="9"/>
  <c r="T45" i="9"/>
  <c r="T117" i="9"/>
  <c r="T32" i="9"/>
  <c r="T109" i="9"/>
  <c r="T23" i="9"/>
  <c r="T120" i="9"/>
  <c r="T99" i="9"/>
  <c r="T37" i="9"/>
  <c r="T106" i="9"/>
  <c r="T145" i="9"/>
  <c r="T75" i="9"/>
  <c r="T47" i="9"/>
  <c r="T34" i="9"/>
  <c r="T123" i="9"/>
  <c r="T91" i="9"/>
  <c r="T129" i="9"/>
  <c r="T68" i="9"/>
  <c r="T29" i="9"/>
  <c r="T115" i="9"/>
  <c r="T96" i="9"/>
  <c r="T93" i="9"/>
  <c r="T63" i="9"/>
  <c r="T113" i="9"/>
  <c r="T74" i="9"/>
  <c r="T118" i="9"/>
  <c r="T107" i="9"/>
  <c r="T141" i="9"/>
  <c r="T69" i="9"/>
  <c r="T24" i="9"/>
  <c r="T50" i="9"/>
  <c r="T116" i="9"/>
  <c r="T77" i="9"/>
  <c r="T143" i="9"/>
  <c r="AB7" i="9"/>
  <c r="T30" i="9"/>
  <c r="T136" i="9"/>
  <c r="T127" i="9"/>
  <c r="T92" i="9"/>
  <c r="T73" i="9"/>
  <c r="T95" i="9"/>
  <c r="T35" i="9"/>
  <c r="T124" i="9"/>
  <c r="T134" i="9"/>
  <c r="T87" i="9"/>
  <c r="T122" i="9"/>
  <c r="T65" i="9"/>
  <c r="T146" i="9"/>
  <c r="T126" i="9"/>
  <c r="T53" i="9"/>
  <c r="T84" i="9"/>
  <c r="T76" i="9"/>
  <c r="T105" i="9"/>
  <c r="T20" i="9"/>
  <c r="T22" i="9"/>
  <c r="T121" i="9"/>
  <c r="T42" i="9"/>
  <c r="F197" i="6"/>
  <c r="AG155" i="6"/>
  <c r="AH155" i="6" s="1"/>
  <c r="AK238" i="5"/>
  <c r="AL238" i="5" s="1"/>
  <c r="G305" i="5"/>
  <c r="G372" i="5" s="1"/>
  <c r="G439" i="5" s="1"/>
  <c r="AI238" i="5"/>
  <c r="AJ238" i="5" s="1"/>
  <c r="J323" i="5"/>
  <c r="J390" i="5" s="1"/>
  <c r="J457" i="5" s="1"/>
  <c r="G339" i="5"/>
  <c r="G406" i="5" s="1"/>
  <c r="G473" i="5" s="1"/>
  <c r="AK272" i="5"/>
  <c r="AL272" i="5" s="1"/>
  <c r="AI272" i="5"/>
  <c r="AJ272" i="5" s="1"/>
  <c r="J287" i="5"/>
  <c r="J354" i="5" s="1"/>
  <c r="J421" i="5" s="1"/>
  <c r="J210" i="6"/>
  <c r="J252" i="6" s="1"/>
  <c r="J294" i="6" s="1"/>
  <c r="J336" i="6" s="1"/>
  <c r="AK244" i="5"/>
  <c r="AL244" i="5" s="1"/>
  <c r="G311" i="5"/>
  <c r="G378" i="5" s="1"/>
  <c r="G445" i="5" s="1"/>
  <c r="AI244" i="5"/>
  <c r="AJ244" i="5" s="1"/>
  <c r="AK234" i="5"/>
  <c r="AL234" i="5" s="1"/>
  <c r="AI234" i="5"/>
  <c r="AJ234" i="5" s="1"/>
  <c r="G301" i="5"/>
  <c r="G368" i="5" s="1"/>
  <c r="G435" i="5" s="1"/>
  <c r="J327" i="5"/>
  <c r="J394" i="5" s="1"/>
  <c r="J461" i="5" s="1"/>
  <c r="J329" i="5"/>
  <c r="J396" i="5" s="1"/>
  <c r="J463" i="5" s="1"/>
  <c r="G34" i="10"/>
  <c r="I106" i="7" s="1"/>
  <c r="F34" i="10"/>
  <c r="H106" i="7" s="1"/>
  <c r="AH74" i="6"/>
  <c r="J112" i="4"/>
  <c r="J134" i="4" s="1"/>
  <c r="J156" i="4" s="1"/>
  <c r="J178" i="4" s="1"/>
  <c r="L89" i="3"/>
  <c r="K136" i="3"/>
  <c r="K164" i="3" s="1"/>
  <c r="I22" i="11" s="1"/>
  <c r="H28" i="16" s="1"/>
  <c r="L136" i="3"/>
  <c r="J164" i="3"/>
  <c r="H22" i="11" s="1"/>
  <c r="G28" i="16" s="1"/>
  <c r="L90" i="3"/>
  <c r="L70" i="3"/>
  <c r="K156" i="3"/>
  <c r="H46" i="2"/>
  <c r="H72" i="2"/>
  <c r="G48" i="2"/>
  <c r="G46" i="2"/>
  <c r="G62" i="2"/>
  <c r="G72" i="2"/>
  <c r="H26" i="11"/>
  <c r="G31" i="16" s="1"/>
  <c r="H17" i="11"/>
  <c r="G25" i="16" s="1"/>
  <c r="H25" i="11"/>
  <c r="G30" i="16" s="1"/>
  <c r="G65" i="11"/>
  <c r="J71" i="11"/>
  <c r="AH73" i="6"/>
  <c r="AI288" i="5"/>
  <c r="AJ288" i="5" s="1"/>
  <c r="AK288" i="5"/>
  <c r="AL288" i="5" s="1"/>
  <c r="I97" i="3"/>
  <c r="J295" i="5" l="1"/>
  <c r="J362" i="5" s="1"/>
  <c r="J429" i="5" s="1"/>
  <c r="AD204" i="5"/>
  <c r="AD176" i="5"/>
  <c r="I26" i="13"/>
  <c r="I27" i="13" s="1"/>
  <c r="AA103" i="6"/>
  <c r="AC103" i="6" s="1"/>
  <c r="Y145" i="6"/>
  <c r="AA145" i="6" s="1"/>
  <c r="AA63" i="4"/>
  <c r="N459" i="5"/>
  <c r="S459" i="5"/>
  <c r="I459" i="5"/>
  <c r="R459" i="5"/>
  <c r="O459" i="5"/>
  <c r="P459" i="5"/>
  <c r="T459" i="5"/>
  <c r="N427" i="5"/>
  <c r="R427" i="5"/>
  <c r="I427" i="5"/>
  <c r="S427" i="5"/>
  <c r="P427" i="5"/>
  <c r="O427" i="5"/>
  <c r="T427" i="5"/>
  <c r="R317" i="6"/>
  <c r="S317" i="6"/>
  <c r="I317" i="6"/>
  <c r="N317" i="6"/>
  <c r="AD317" i="6" s="1"/>
  <c r="P317" i="6"/>
  <c r="T317" i="6"/>
  <c r="N463" i="5"/>
  <c r="P463" i="5"/>
  <c r="O463" i="5"/>
  <c r="S463" i="5"/>
  <c r="I463" i="5"/>
  <c r="R463" i="5"/>
  <c r="T463" i="5"/>
  <c r="S421" i="5"/>
  <c r="R421" i="5"/>
  <c r="O421" i="5"/>
  <c r="I421" i="5"/>
  <c r="N421" i="5"/>
  <c r="P421" i="5"/>
  <c r="T421" i="5"/>
  <c r="T441" i="5"/>
  <c r="P441" i="5"/>
  <c r="I441" i="5"/>
  <c r="S441" i="5"/>
  <c r="N441" i="5"/>
  <c r="O441" i="5"/>
  <c r="R441" i="5"/>
  <c r="H27" i="13"/>
  <c r="AI438" i="5"/>
  <c r="AJ438" i="5" s="1"/>
  <c r="AK438" i="5"/>
  <c r="AL438" i="5" s="1"/>
  <c r="S174" i="4"/>
  <c r="I174" i="4"/>
  <c r="T174" i="4"/>
  <c r="N174" i="4"/>
  <c r="AD174" i="4" s="1"/>
  <c r="R174" i="4"/>
  <c r="P174" i="4"/>
  <c r="AI434" i="5"/>
  <c r="AJ434" i="5" s="1"/>
  <c r="AK434" i="5"/>
  <c r="AL434" i="5" s="1"/>
  <c r="AI430" i="5"/>
  <c r="AJ430" i="5" s="1"/>
  <c r="AK430" i="5"/>
  <c r="AL430" i="5" s="1"/>
  <c r="R338" i="6"/>
  <c r="N338" i="6"/>
  <c r="AD338" i="6" s="1"/>
  <c r="T338" i="6"/>
  <c r="P338" i="6"/>
  <c r="S338" i="6"/>
  <c r="I338" i="6"/>
  <c r="AK449" i="5"/>
  <c r="AL449" i="5" s="1"/>
  <c r="AI449" i="5"/>
  <c r="AJ449" i="5" s="1"/>
  <c r="AK436" i="5"/>
  <c r="AL436" i="5" s="1"/>
  <c r="AI436" i="5"/>
  <c r="AJ436" i="5"/>
  <c r="AK448" i="5"/>
  <c r="AL448" i="5" s="1"/>
  <c r="AI448" i="5"/>
  <c r="AJ448" i="5" s="1"/>
  <c r="AI223" i="5"/>
  <c r="AJ223" i="5" s="1"/>
  <c r="G290" i="5"/>
  <c r="T426" i="5"/>
  <c r="P426" i="5"/>
  <c r="I426" i="5"/>
  <c r="N426" i="5"/>
  <c r="S426" i="5"/>
  <c r="O426" i="5"/>
  <c r="R426" i="5"/>
  <c r="J69" i="14"/>
  <c r="K69" i="14"/>
  <c r="F23" i="16"/>
  <c r="AD180" i="5"/>
  <c r="AI420" i="5"/>
  <c r="AJ420" i="5" s="1"/>
  <c r="AK420" i="5" s="1"/>
  <c r="AL420" i="5" s="1"/>
  <c r="AG381" i="5"/>
  <c r="AH381" i="5" s="1"/>
  <c r="F448" i="5"/>
  <c r="AG448" i="5" s="1"/>
  <c r="AH448" i="5" s="1"/>
  <c r="AG297" i="6"/>
  <c r="AH297" i="6" s="1"/>
  <c r="F339" i="6"/>
  <c r="AG339" i="6" s="1"/>
  <c r="AH339" i="6" s="1"/>
  <c r="S175" i="4"/>
  <c r="T175" i="4"/>
  <c r="I175" i="4"/>
  <c r="N175" i="4"/>
  <c r="AD175" i="4" s="1"/>
  <c r="R175" i="4"/>
  <c r="P175" i="4"/>
  <c r="AK425" i="5"/>
  <c r="AL425" i="5" s="1"/>
  <c r="AI425" i="5"/>
  <c r="AJ425" i="5" s="1"/>
  <c r="AK439" i="5"/>
  <c r="AL439" i="5" s="1"/>
  <c r="AI439" i="5"/>
  <c r="AJ439" i="5" s="1"/>
  <c r="AK468" i="5"/>
  <c r="AL468" i="5" s="1"/>
  <c r="AI468" i="5"/>
  <c r="AJ468" i="5" s="1"/>
  <c r="S179" i="4"/>
  <c r="T179" i="4"/>
  <c r="I179" i="4"/>
  <c r="P179" i="4"/>
  <c r="N179" i="4"/>
  <c r="AD179" i="4" s="1"/>
  <c r="R179" i="4"/>
  <c r="T429" i="5"/>
  <c r="P429" i="5"/>
  <c r="I429" i="5"/>
  <c r="N429" i="5"/>
  <c r="R429" i="5"/>
  <c r="S429" i="5"/>
  <c r="O429" i="5"/>
  <c r="T469" i="5"/>
  <c r="N469" i="5"/>
  <c r="P469" i="5"/>
  <c r="O469" i="5"/>
  <c r="R469" i="5"/>
  <c r="S469" i="5"/>
  <c r="I469" i="5"/>
  <c r="R321" i="6"/>
  <c r="S321" i="6"/>
  <c r="I321" i="6"/>
  <c r="P321" i="6"/>
  <c r="N321" i="6"/>
  <c r="AD321" i="6" s="1"/>
  <c r="T321" i="6"/>
  <c r="AD172" i="5"/>
  <c r="R326" i="6"/>
  <c r="N326" i="6"/>
  <c r="AD326" i="6" s="1"/>
  <c r="P326" i="6"/>
  <c r="T326" i="6"/>
  <c r="S326" i="6"/>
  <c r="I326" i="6"/>
  <c r="AD156" i="5"/>
  <c r="K16" i="7"/>
  <c r="AG373" i="5"/>
  <c r="AH373" i="5" s="1"/>
  <c r="F440" i="5"/>
  <c r="AG440" i="5" s="1"/>
  <c r="AH440" i="5" s="1"/>
  <c r="AG405" i="5"/>
  <c r="AH405" i="5" s="1"/>
  <c r="F472" i="5"/>
  <c r="AG472" i="5" s="1"/>
  <c r="AH472" i="5" s="1"/>
  <c r="S178" i="4"/>
  <c r="T178" i="4"/>
  <c r="I178" i="4"/>
  <c r="P178" i="4"/>
  <c r="N178" i="4"/>
  <c r="AD178" i="4" s="1"/>
  <c r="R178" i="4"/>
  <c r="AK445" i="5"/>
  <c r="AL445" i="5" s="1"/>
  <c r="AI445" i="5"/>
  <c r="AJ445" i="5" s="1"/>
  <c r="N467" i="5"/>
  <c r="P467" i="5"/>
  <c r="O467" i="5"/>
  <c r="R467" i="5"/>
  <c r="I467" i="5"/>
  <c r="S467" i="5"/>
  <c r="T467" i="5"/>
  <c r="AI428" i="5"/>
  <c r="AJ428" i="5" s="1"/>
  <c r="AK428" i="5"/>
  <c r="AL428" i="5" s="1"/>
  <c r="N461" i="5"/>
  <c r="I461" i="5"/>
  <c r="T461" i="5"/>
  <c r="R461" i="5"/>
  <c r="S461" i="5"/>
  <c r="P461" i="5"/>
  <c r="O461" i="5"/>
  <c r="AK473" i="5"/>
  <c r="AL473" i="5" s="1"/>
  <c r="AI473" i="5"/>
  <c r="AJ473" i="5" s="1"/>
  <c r="S176" i="4"/>
  <c r="T176" i="4"/>
  <c r="I176" i="4"/>
  <c r="R176" i="4"/>
  <c r="N176" i="4"/>
  <c r="AD176" i="4" s="1"/>
  <c r="P176" i="4"/>
  <c r="R329" i="6"/>
  <c r="N329" i="6"/>
  <c r="AD329" i="6" s="1"/>
  <c r="P329" i="6"/>
  <c r="I329" i="6"/>
  <c r="S329" i="6"/>
  <c r="T329" i="6"/>
  <c r="AD164" i="5"/>
  <c r="R336" i="6"/>
  <c r="S336" i="6"/>
  <c r="I336" i="6"/>
  <c r="T336" i="6"/>
  <c r="P336" i="6"/>
  <c r="N336" i="6"/>
  <c r="AD336" i="6" s="1"/>
  <c r="AK435" i="5"/>
  <c r="AL435" i="5" s="1"/>
  <c r="AI435" i="5"/>
  <c r="AJ435" i="5"/>
  <c r="N465" i="5"/>
  <c r="T465" i="5"/>
  <c r="O465" i="5"/>
  <c r="P465" i="5"/>
  <c r="I465" i="5"/>
  <c r="R465" i="5"/>
  <c r="S465" i="5"/>
  <c r="T457" i="5"/>
  <c r="N457" i="5"/>
  <c r="S457" i="5"/>
  <c r="O457" i="5"/>
  <c r="I457" i="5"/>
  <c r="R457" i="5"/>
  <c r="P457" i="5"/>
  <c r="N451" i="5"/>
  <c r="S451" i="5"/>
  <c r="O451" i="5"/>
  <c r="P451" i="5"/>
  <c r="R451" i="5"/>
  <c r="I451" i="5"/>
  <c r="T451" i="5"/>
  <c r="T462" i="5"/>
  <c r="O462" i="5"/>
  <c r="N462" i="5"/>
  <c r="P462" i="5"/>
  <c r="I462" i="5"/>
  <c r="S462" i="5"/>
  <c r="R462" i="5"/>
  <c r="AI474" i="5"/>
  <c r="AJ474" i="5" s="1"/>
  <c r="AK474" i="5"/>
  <c r="AL474" i="5" s="1"/>
  <c r="J26" i="13"/>
  <c r="J27" i="13" s="1"/>
  <c r="S180" i="4"/>
  <c r="I180" i="4"/>
  <c r="T180" i="4"/>
  <c r="R180" i="4"/>
  <c r="P180" i="4"/>
  <c r="N180" i="4"/>
  <c r="AD180" i="4" s="1"/>
  <c r="G56" i="14"/>
  <c r="G42" i="14" s="1"/>
  <c r="AD192" i="5"/>
  <c r="L27" i="3"/>
  <c r="I46" i="16"/>
  <c r="M136" i="3"/>
  <c r="M164" i="3" s="1"/>
  <c r="K22" i="11" s="1"/>
  <c r="J28" i="16" s="1"/>
  <c r="N114" i="3"/>
  <c r="N136" i="3" s="1"/>
  <c r="X20" i="9"/>
  <c r="AF7" i="9"/>
  <c r="X50" i="9"/>
  <c r="X137" i="9"/>
  <c r="X89" i="9"/>
  <c r="X41" i="9"/>
  <c r="X27" i="9"/>
  <c r="X24" i="9"/>
  <c r="X142" i="9"/>
  <c r="X94" i="9"/>
  <c r="X46" i="9"/>
  <c r="X123" i="9"/>
  <c r="X19" i="9"/>
  <c r="X120" i="9"/>
  <c r="X16" i="9"/>
  <c r="X141" i="9"/>
  <c r="X93" i="9"/>
  <c r="X45" i="9"/>
  <c r="X115" i="9"/>
  <c r="X144" i="9"/>
  <c r="X119" i="9"/>
  <c r="X140" i="9"/>
  <c r="X92" i="9"/>
  <c r="X44" i="9"/>
  <c r="X74" i="9"/>
  <c r="X145" i="9"/>
  <c r="X97" i="9"/>
  <c r="X49" i="9"/>
  <c r="X59" i="9"/>
  <c r="X56" i="9"/>
  <c r="X15" i="9"/>
  <c r="X102" i="9"/>
  <c r="X54" i="9"/>
  <c r="X139" i="9"/>
  <c r="X43" i="9"/>
  <c r="X136" i="9"/>
  <c r="X40" i="9"/>
  <c r="X23" i="9"/>
  <c r="X101" i="9"/>
  <c r="X53" i="9"/>
  <c r="X131" i="9"/>
  <c r="X66" i="9"/>
  <c r="X143" i="9"/>
  <c r="X31" i="9"/>
  <c r="X100" i="9"/>
  <c r="X52" i="9"/>
  <c r="X106" i="9"/>
  <c r="X129" i="9"/>
  <c r="X65" i="9"/>
  <c r="X138" i="9"/>
  <c r="X71" i="9"/>
  <c r="X86" i="9"/>
  <c r="X22" i="9"/>
  <c r="X146" i="9"/>
  <c r="X64" i="9"/>
  <c r="X133" i="9"/>
  <c r="X69" i="9"/>
  <c r="X99" i="9"/>
  <c r="X88" i="9"/>
  <c r="X132" i="9"/>
  <c r="X68" i="9"/>
  <c r="X90" i="9"/>
  <c r="X121" i="9"/>
  <c r="X57" i="9"/>
  <c r="X82" i="9"/>
  <c r="X47" i="9"/>
  <c r="X78" i="9"/>
  <c r="X14" i="9"/>
  <c r="X122" i="9"/>
  <c r="X48" i="9"/>
  <c r="X125" i="9"/>
  <c r="X61" i="9"/>
  <c r="X75" i="9"/>
  <c r="X32" i="9"/>
  <c r="X124" i="9"/>
  <c r="X60" i="9"/>
  <c r="X42" i="9"/>
  <c r="X113" i="9"/>
  <c r="X33" i="9"/>
  <c r="X96" i="9"/>
  <c r="X134" i="9"/>
  <c r="X70" i="9"/>
  <c r="X34" i="9"/>
  <c r="X105" i="9"/>
  <c r="X25" i="9"/>
  <c r="X72" i="9"/>
  <c r="X126" i="9"/>
  <c r="X62" i="9"/>
  <c r="X83" i="9"/>
  <c r="X58" i="9"/>
  <c r="X103" i="9"/>
  <c r="X109" i="9"/>
  <c r="X29" i="9"/>
  <c r="X114" i="9"/>
  <c r="X87" i="9"/>
  <c r="X108" i="9"/>
  <c r="X28" i="9"/>
  <c r="X26" i="9"/>
  <c r="X81" i="9"/>
  <c r="X17" i="9"/>
  <c r="X127" i="9"/>
  <c r="X118" i="9"/>
  <c r="X38" i="9"/>
  <c r="X67" i="9"/>
  <c r="X104" i="9"/>
  <c r="X79" i="9"/>
  <c r="X85" i="9"/>
  <c r="X21" i="9"/>
  <c r="X128" i="9"/>
  <c r="X63" i="9"/>
  <c r="X84" i="9"/>
  <c r="X130" i="9"/>
  <c r="X30" i="9"/>
  <c r="X55" i="9"/>
  <c r="X112" i="9"/>
  <c r="X18" i="9"/>
  <c r="X107" i="9"/>
  <c r="X117" i="9"/>
  <c r="X111" i="9"/>
  <c r="X73" i="9"/>
  <c r="X51" i="9"/>
  <c r="X77" i="9"/>
  <c r="X39" i="9"/>
  <c r="X91" i="9"/>
  <c r="X98" i="9"/>
  <c r="X37" i="9"/>
  <c r="X116" i="9"/>
  <c r="X95" i="9"/>
  <c r="X80" i="9"/>
  <c r="X13" i="9"/>
  <c r="X76" i="9"/>
  <c r="X110" i="9"/>
  <c r="X135" i="9"/>
  <c r="X35" i="9"/>
  <c r="X36" i="9"/>
  <c r="AG228" i="6"/>
  <c r="AH228" i="6" s="1"/>
  <c r="F270" i="6"/>
  <c r="R275" i="6"/>
  <c r="P275" i="6"/>
  <c r="S275" i="6"/>
  <c r="N275" i="6"/>
  <c r="AD275" i="6" s="1"/>
  <c r="T275" i="6"/>
  <c r="I275" i="6"/>
  <c r="H196" i="6"/>
  <c r="AF196" i="6" s="1"/>
  <c r="N296" i="6"/>
  <c r="AD296" i="6" s="1"/>
  <c r="S296" i="6"/>
  <c r="P296" i="6"/>
  <c r="T296" i="6"/>
  <c r="R296" i="6"/>
  <c r="I296" i="6"/>
  <c r="AG252" i="6"/>
  <c r="AH252" i="6" s="1"/>
  <c r="F294" i="6"/>
  <c r="S279" i="6"/>
  <c r="P279" i="6"/>
  <c r="T279" i="6"/>
  <c r="I279" i="6"/>
  <c r="R279" i="6"/>
  <c r="N279" i="6"/>
  <c r="AD279" i="6" s="1"/>
  <c r="N294" i="6"/>
  <c r="AD294" i="6" s="1"/>
  <c r="S294" i="6"/>
  <c r="P294" i="6"/>
  <c r="R294" i="6"/>
  <c r="I294" i="6"/>
  <c r="T294" i="6"/>
  <c r="N287" i="6"/>
  <c r="AD287" i="6" s="1"/>
  <c r="S287" i="6"/>
  <c r="R287" i="6"/>
  <c r="P287" i="6"/>
  <c r="I287" i="6"/>
  <c r="T287" i="6"/>
  <c r="N284" i="6"/>
  <c r="AD284" i="6" s="1"/>
  <c r="S284" i="6"/>
  <c r="R284" i="6"/>
  <c r="P284" i="6"/>
  <c r="T284" i="6"/>
  <c r="I284" i="6"/>
  <c r="AG232" i="6"/>
  <c r="AH232" i="6" s="1"/>
  <c r="F274" i="6"/>
  <c r="H207" i="6"/>
  <c r="AF207" i="6" s="1"/>
  <c r="H191" i="6"/>
  <c r="H233" i="6" s="1"/>
  <c r="Y149" i="6"/>
  <c r="AA70" i="4"/>
  <c r="AA65" i="4"/>
  <c r="AC65" i="4" s="1"/>
  <c r="AA69" i="4"/>
  <c r="AC69" i="4" s="1"/>
  <c r="K44" i="2"/>
  <c r="L44" i="2" s="1"/>
  <c r="I73" i="2"/>
  <c r="I78" i="2" s="1"/>
  <c r="AB164" i="5"/>
  <c r="AA164" i="5"/>
  <c r="P245" i="6"/>
  <c r="S245" i="6"/>
  <c r="R245" i="6"/>
  <c r="I245" i="6"/>
  <c r="N245" i="6"/>
  <c r="AD245" i="6" s="1"/>
  <c r="T245" i="6"/>
  <c r="AK369" i="5"/>
  <c r="AL369" i="5" s="1"/>
  <c r="AI369" i="5"/>
  <c r="AJ369" i="5" s="1"/>
  <c r="AG215" i="6"/>
  <c r="AH215" i="6" s="1"/>
  <c r="F257" i="6"/>
  <c r="AF240" i="5"/>
  <c r="AF107" i="4"/>
  <c r="Y107" i="4"/>
  <c r="H129" i="4"/>
  <c r="AF233" i="5"/>
  <c r="AG330" i="5"/>
  <c r="AH330" i="5" s="1"/>
  <c r="F397" i="5"/>
  <c r="AF261" i="5"/>
  <c r="Y261" i="5"/>
  <c r="T396" i="5"/>
  <c r="P396" i="5"/>
  <c r="S396" i="5"/>
  <c r="R396" i="5"/>
  <c r="I396" i="5"/>
  <c r="O396" i="5"/>
  <c r="N396" i="5"/>
  <c r="T390" i="5"/>
  <c r="P390" i="5"/>
  <c r="S390" i="5"/>
  <c r="O390" i="5"/>
  <c r="N390" i="5"/>
  <c r="R390" i="5"/>
  <c r="I390" i="5"/>
  <c r="T392" i="5"/>
  <c r="P392" i="5"/>
  <c r="I392" i="5"/>
  <c r="N392" i="5"/>
  <c r="S392" i="5"/>
  <c r="O392" i="5"/>
  <c r="R392" i="5"/>
  <c r="AI382" i="5"/>
  <c r="AJ382" i="5" s="1"/>
  <c r="AK382" i="5"/>
  <c r="AL382" i="5" s="1"/>
  <c r="AF317" i="5"/>
  <c r="H384" i="5"/>
  <c r="H451" i="5" s="1"/>
  <c r="AF228" i="5"/>
  <c r="AF272" i="5"/>
  <c r="AI381" i="5"/>
  <c r="AJ381" i="5" s="1"/>
  <c r="AK381" i="5"/>
  <c r="AL381" i="5" s="1"/>
  <c r="AF318" i="5"/>
  <c r="H385" i="5"/>
  <c r="H452" i="5" s="1"/>
  <c r="AF452" i="5" s="1"/>
  <c r="AF253" i="5"/>
  <c r="AF334" i="5"/>
  <c r="H401" i="5"/>
  <c r="H468" i="5" s="1"/>
  <c r="AF211" i="6"/>
  <c r="H253" i="6"/>
  <c r="T153" i="4"/>
  <c r="I153" i="4"/>
  <c r="S153" i="4"/>
  <c r="N153" i="4"/>
  <c r="AD153" i="4" s="1"/>
  <c r="R153" i="4"/>
  <c r="P153" i="4"/>
  <c r="AF238" i="5"/>
  <c r="AF266" i="5"/>
  <c r="H329" i="5"/>
  <c r="AF262" i="5"/>
  <c r="H294" i="5"/>
  <c r="AF227" i="5"/>
  <c r="T157" i="4"/>
  <c r="I157" i="4"/>
  <c r="S157" i="4"/>
  <c r="N157" i="4"/>
  <c r="AD157" i="4" s="1"/>
  <c r="P157" i="4"/>
  <c r="R157" i="4"/>
  <c r="AF91" i="4"/>
  <c r="Y91" i="4"/>
  <c r="AA91" i="4" s="1"/>
  <c r="AF286" i="5"/>
  <c r="AG200" i="6"/>
  <c r="AH200" i="6" s="1"/>
  <c r="F242" i="6"/>
  <c r="AF254" i="5"/>
  <c r="F298" i="5"/>
  <c r="AG231" i="5"/>
  <c r="AH231" i="5" s="1"/>
  <c r="L157" i="3"/>
  <c r="M90" i="3"/>
  <c r="AK406" i="5"/>
  <c r="AL406" i="5" s="1"/>
  <c r="AI406" i="5"/>
  <c r="AJ406" i="5" s="1"/>
  <c r="AF288" i="5"/>
  <c r="H355" i="5"/>
  <c r="H422" i="5" s="1"/>
  <c r="L156" i="3"/>
  <c r="M89" i="3"/>
  <c r="T398" i="5"/>
  <c r="P398" i="5"/>
  <c r="I398" i="5"/>
  <c r="N398" i="5"/>
  <c r="O398" i="5"/>
  <c r="S398" i="5"/>
  <c r="R398" i="5"/>
  <c r="AF297" i="5"/>
  <c r="H364" i="5"/>
  <c r="H431" i="5" s="1"/>
  <c r="AF236" i="5"/>
  <c r="AF231" i="5"/>
  <c r="AF273" i="5"/>
  <c r="T402" i="5"/>
  <c r="P402" i="5"/>
  <c r="O402" i="5"/>
  <c r="I402" i="5"/>
  <c r="N402" i="5"/>
  <c r="R402" i="5"/>
  <c r="S402" i="5"/>
  <c r="AF84" i="4"/>
  <c r="Y84" i="4"/>
  <c r="AF246" i="5"/>
  <c r="AI295" i="5"/>
  <c r="AJ295" i="5" s="1"/>
  <c r="G362" i="5"/>
  <c r="G429" i="5" s="1"/>
  <c r="AF243" i="5"/>
  <c r="T359" i="5"/>
  <c r="N359" i="5"/>
  <c r="I359" i="5"/>
  <c r="S359" i="5"/>
  <c r="P359" i="5"/>
  <c r="R359" i="5"/>
  <c r="O359" i="5"/>
  <c r="H110" i="4"/>
  <c r="AF88" i="4"/>
  <c r="Y88" i="4"/>
  <c r="AK358" i="5"/>
  <c r="AL358" i="5" s="1"/>
  <c r="AI358" i="5"/>
  <c r="AJ358" i="5" s="1"/>
  <c r="AD188" i="5"/>
  <c r="AD261" i="5"/>
  <c r="Y168" i="6"/>
  <c r="P254" i="6"/>
  <c r="S254" i="6"/>
  <c r="R254" i="6"/>
  <c r="I254" i="6"/>
  <c r="N254" i="6"/>
  <c r="AD254" i="6" s="1"/>
  <c r="T254" i="6"/>
  <c r="AF222" i="5"/>
  <c r="AF268" i="5"/>
  <c r="N362" i="5"/>
  <c r="S362" i="5"/>
  <c r="O362" i="5"/>
  <c r="I362" i="5"/>
  <c r="T362" i="5"/>
  <c r="P362" i="5"/>
  <c r="R362" i="5"/>
  <c r="AK372" i="5"/>
  <c r="AL372" i="5" s="1"/>
  <c r="AI372" i="5"/>
  <c r="AJ372" i="5" s="1"/>
  <c r="T156" i="4"/>
  <c r="P156" i="4"/>
  <c r="N156" i="4"/>
  <c r="AD156" i="4" s="1"/>
  <c r="I156" i="4"/>
  <c r="R156" i="4"/>
  <c r="S156" i="4"/>
  <c r="N394" i="5"/>
  <c r="P394" i="5"/>
  <c r="I394" i="5"/>
  <c r="T394" i="5"/>
  <c r="O394" i="5"/>
  <c r="S394" i="5"/>
  <c r="R394" i="5"/>
  <c r="P252" i="6"/>
  <c r="S252" i="6"/>
  <c r="R252" i="6"/>
  <c r="T252" i="6"/>
  <c r="N252" i="6"/>
  <c r="AD252" i="6" s="1"/>
  <c r="I252" i="6"/>
  <c r="AF287" i="5"/>
  <c r="H354" i="5"/>
  <c r="H421" i="5" s="1"/>
  <c r="AF421" i="5" s="1"/>
  <c r="K46" i="12"/>
  <c r="J39" i="16" s="1"/>
  <c r="L44" i="12"/>
  <c r="L46" i="12" s="1"/>
  <c r="K39" i="16" s="1"/>
  <c r="AF191" i="6"/>
  <c r="AF247" i="5"/>
  <c r="AF263" i="5"/>
  <c r="AF249" i="5"/>
  <c r="AI287" i="5"/>
  <c r="AJ287" i="5" s="1"/>
  <c r="G354" i="5"/>
  <c r="G421" i="5" s="1"/>
  <c r="AF321" i="5"/>
  <c r="H388" i="5"/>
  <c r="H455" i="5" s="1"/>
  <c r="AG327" i="5"/>
  <c r="AH327" i="5" s="1"/>
  <c r="F394" i="5"/>
  <c r="AI367" i="5"/>
  <c r="AJ367" i="5" s="1"/>
  <c r="AK367" i="5"/>
  <c r="AL367" i="5" s="1"/>
  <c r="AF87" i="4"/>
  <c r="Y87" i="4"/>
  <c r="AB87" i="4" s="1"/>
  <c r="AG203" i="6"/>
  <c r="AH203" i="6" s="1"/>
  <c r="F245" i="6"/>
  <c r="K26" i="13"/>
  <c r="K27" i="13" s="1"/>
  <c r="AF221" i="5"/>
  <c r="AK368" i="5"/>
  <c r="AL368" i="5" s="1"/>
  <c r="AI368" i="5"/>
  <c r="AJ368" i="5" s="1"/>
  <c r="R354" i="5"/>
  <c r="S354" i="5"/>
  <c r="O354" i="5"/>
  <c r="I354" i="5"/>
  <c r="N354" i="5"/>
  <c r="P354" i="5"/>
  <c r="T354" i="5"/>
  <c r="T400" i="5"/>
  <c r="P400" i="5"/>
  <c r="S400" i="5"/>
  <c r="O400" i="5"/>
  <c r="R400" i="5"/>
  <c r="N400" i="5"/>
  <c r="I400" i="5"/>
  <c r="AK401" i="5"/>
  <c r="AL401" i="5" s="1"/>
  <c r="AI401" i="5"/>
  <c r="AJ401" i="5" s="1"/>
  <c r="AF244" i="5"/>
  <c r="AF202" i="6"/>
  <c r="H244" i="6"/>
  <c r="AF114" i="4"/>
  <c r="Y114" i="4"/>
  <c r="H136" i="4"/>
  <c r="AF237" i="5"/>
  <c r="AK361" i="5"/>
  <c r="AL361" i="5" s="1"/>
  <c r="AI361" i="5"/>
  <c r="AJ361" i="5" s="1"/>
  <c r="AG339" i="5"/>
  <c r="AH339" i="5" s="1"/>
  <c r="F406" i="5"/>
  <c r="AF232" i="5"/>
  <c r="AF257" i="5"/>
  <c r="AF248" i="5"/>
  <c r="AG205" i="6"/>
  <c r="AH205" i="6" s="1"/>
  <c r="F247" i="6"/>
  <c r="H195" i="6"/>
  <c r="AF153" i="6"/>
  <c r="P233" i="6"/>
  <c r="N233" i="6"/>
  <c r="AD233" i="6" s="1"/>
  <c r="I233" i="6"/>
  <c r="S233" i="6"/>
  <c r="R233" i="6"/>
  <c r="T233" i="6"/>
  <c r="AF86" i="4"/>
  <c r="Y86" i="4"/>
  <c r="AB86" i="4" s="1"/>
  <c r="AG191" i="6"/>
  <c r="AH191" i="6" s="1"/>
  <c r="F233" i="6"/>
  <c r="AG307" i="5"/>
  <c r="AH307" i="5" s="1"/>
  <c r="F374" i="5"/>
  <c r="P242" i="6"/>
  <c r="T242" i="6"/>
  <c r="S242" i="6"/>
  <c r="N242" i="6"/>
  <c r="AD242" i="6" s="1"/>
  <c r="I242" i="6"/>
  <c r="R242" i="6"/>
  <c r="AF220" i="5"/>
  <c r="Y220" i="5"/>
  <c r="R360" i="5"/>
  <c r="N360" i="5"/>
  <c r="I360" i="5"/>
  <c r="T360" i="5"/>
  <c r="P360" i="5"/>
  <c r="S360" i="5"/>
  <c r="O360" i="5"/>
  <c r="AF289" i="5"/>
  <c r="H356" i="5"/>
  <c r="H423" i="5" s="1"/>
  <c r="AF252" i="5"/>
  <c r="AF198" i="6"/>
  <c r="H240" i="6"/>
  <c r="AF201" i="6"/>
  <c r="H243" i="6"/>
  <c r="AF306" i="5"/>
  <c r="H373" i="5"/>
  <c r="H440" i="5" s="1"/>
  <c r="AF440" i="5" s="1"/>
  <c r="AF269" i="5"/>
  <c r="AF302" i="5"/>
  <c r="H369" i="5"/>
  <c r="H436" i="5" s="1"/>
  <c r="AF436" i="5" s="1"/>
  <c r="AI322" i="5"/>
  <c r="AJ322" i="5" s="1"/>
  <c r="G389" i="5"/>
  <c r="G456" i="5" s="1"/>
  <c r="H293" i="5"/>
  <c r="AF226" i="5"/>
  <c r="AF241" i="5"/>
  <c r="T158" i="4"/>
  <c r="P158" i="4"/>
  <c r="S158" i="4"/>
  <c r="I158" i="4"/>
  <c r="N158" i="4"/>
  <c r="AD158" i="4" s="1"/>
  <c r="R158" i="4"/>
  <c r="AI363" i="5"/>
  <c r="AJ363" i="5" s="1"/>
  <c r="AK363" i="5"/>
  <c r="AL363" i="5" s="1"/>
  <c r="AF242" i="5"/>
  <c r="L77" i="3"/>
  <c r="L154" i="3" s="1"/>
  <c r="J15" i="11" s="1"/>
  <c r="M70" i="3"/>
  <c r="T384" i="5"/>
  <c r="O384" i="5"/>
  <c r="R384" i="5"/>
  <c r="P384" i="5"/>
  <c r="I384" i="5"/>
  <c r="S384" i="5"/>
  <c r="N384" i="5"/>
  <c r="R395" i="5"/>
  <c r="N395" i="5"/>
  <c r="S395" i="5"/>
  <c r="I395" i="5"/>
  <c r="O395" i="5"/>
  <c r="T395" i="5"/>
  <c r="P395" i="5"/>
  <c r="T374" i="5"/>
  <c r="S374" i="5"/>
  <c r="P374" i="5"/>
  <c r="N374" i="5"/>
  <c r="I374" i="5"/>
  <c r="R374" i="5"/>
  <c r="O374" i="5"/>
  <c r="AF260" i="5"/>
  <c r="Y260" i="5"/>
  <c r="AF224" i="5"/>
  <c r="AF109" i="4"/>
  <c r="Y109" i="4"/>
  <c r="H131" i="4"/>
  <c r="AK371" i="5"/>
  <c r="AL371" i="5" s="1"/>
  <c r="AI371" i="5"/>
  <c r="AJ371" i="5" s="1"/>
  <c r="AF259" i="5"/>
  <c r="AF264" i="5"/>
  <c r="AF230" i="5"/>
  <c r="AG193" i="6"/>
  <c r="AH193" i="6" s="1"/>
  <c r="F235" i="6"/>
  <c r="H337" i="5"/>
  <c r="AF270" i="5"/>
  <c r="H206" i="6"/>
  <c r="AF164" i="6"/>
  <c r="H111" i="4"/>
  <c r="AF89" i="4"/>
  <c r="Y89" i="4"/>
  <c r="AA89" i="4" s="1"/>
  <c r="AG289" i="5"/>
  <c r="AH289" i="5" s="1"/>
  <c r="F356" i="5"/>
  <c r="M166" i="3"/>
  <c r="I58" i="16" s="1"/>
  <c r="AK290" i="5"/>
  <c r="AL290" i="5" s="1"/>
  <c r="G357" i="5"/>
  <c r="G424" i="5" s="1"/>
  <c r="AF265" i="5"/>
  <c r="AG189" i="6"/>
  <c r="AH189" i="6" s="1"/>
  <c r="F231" i="6"/>
  <c r="AF338" i="5"/>
  <c r="H405" i="5"/>
  <c r="H472" i="5" s="1"/>
  <c r="AF187" i="6"/>
  <c r="H229" i="6"/>
  <c r="T152" i="4"/>
  <c r="S152" i="4"/>
  <c r="I152" i="4"/>
  <c r="R152" i="4"/>
  <c r="P152" i="4"/>
  <c r="N152" i="4"/>
  <c r="AD152" i="4" s="1"/>
  <c r="AF92" i="4"/>
  <c r="Y92" i="4"/>
  <c r="AB92" i="4" s="1"/>
  <c r="P237" i="6"/>
  <c r="T237" i="6"/>
  <c r="N237" i="6"/>
  <c r="AD237" i="6" s="1"/>
  <c r="I237" i="6"/>
  <c r="S237" i="6"/>
  <c r="R237" i="6"/>
  <c r="Y153" i="6"/>
  <c r="AA153" i="6" s="1"/>
  <c r="AF186" i="6"/>
  <c r="H228" i="6"/>
  <c r="AF322" i="5"/>
  <c r="H389" i="5"/>
  <c r="H456" i="5" s="1"/>
  <c r="AF456" i="5" s="1"/>
  <c r="AK378" i="5"/>
  <c r="AL378" i="5" s="1"/>
  <c r="AI378" i="5"/>
  <c r="AJ378" i="5" s="1"/>
  <c r="AG197" i="6"/>
  <c r="AH197" i="6" s="1"/>
  <c r="F239" i="6"/>
  <c r="AK407" i="5"/>
  <c r="AL407" i="5" s="1"/>
  <c r="AI407" i="5"/>
  <c r="AJ407" i="5" s="1"/>
  <c r="AF309" i="5"/>
  <c r="H376" i="5"/>
  <c r="H443" i="5" s="1"/>
  <c r="AF256" i="5"/>
  <c r="Y256" i="5"/>
  <c r="AF290" i="5"/>
  <c r="H357" i="5"/>
  <c r="H424" i="5" s="1"/>
  <c r="AF424" i="5" s="1"/>
  <c r="AF245" i="5"/>
  <c r="AF225" i="5"/>
  <c r="AF258" i="5"/>
  <c r="H301" i="5"/>
  <c r="AF234" i="5"/>
  <c r="H296" i="5"/>
  <c r="AF229" i="5"/>
  <c r="T154" i="4"/>
  <c r="N154" i="4"/>
  <c r="AD154" i="4" s="1"/>
  <c r="P154" i="4"/>
  <c r="R154" i="4"/>
  <c r="I154" i="4"/>
  <c r="S154" i="4"/>
  <c r="H112" i="4"/>
  <c r="AF90" i="4"/>
  <c r="Y90" i="4"/>
  <c r="L29" i="7"/>
  <c r="L28" i="7"/>
  <c r="L37" i="3"/>
  <c r="L36" i="3"/>
  <c r="R11" i="9"/>
  <c r="J21" i="3"/>
  <c r="J20" i="3"/>
  <c r="J19" i="3"/>
  <c r="H37" i="10"/>
  <c r="J109" i="7" s="1"/>
  <c r="F48" i="10"/>
  <c r="G13" i="10" s="1"/>
  <c r="F40" i="10"/>
  <c r="R134" i="4"/>
  <c r="S134" i="4"/>
  <c r="N134" i="4"/>
  <c r="AD134" i="4" s="1"/>
  <c r="T134" i="4"/>
  <c r="P134" i="4"/>
  <c r="I134" i="4"/>
  <c r="R130" i="4"/>
  <c r="S130" i="4"/>
  <c r="N130" i="4"/>
  <c r="AD130" i="4" s="1"/>
  <c r="T130" i="4"/>
  <c r="P130" i="4"/>
  <c r="I130" i="4"/>
  <c r="R135" i="4"/>
  <c r="N135" i="4"/>
  <c r="AD135" i="4" s="1"/>
  <c r="T135" i="4"/>
  <c r="S135" i="4"/>
  <c r="I135" i="4"/>
  <c r="P135" i="4"/>
  <c r="K15" i="3"/>
  <c r="R136" i="4"/>
  <c r="P136" i="4"/>
  <c r="I136" i="4"/>
  <c r="S136" i="4"/>
  <c r="N136" i="4"/>
  <c r="AD136" i="4" s="1"/>
  <c r="T136" i="4"/>
  <c r="R132" i="4"/>
  <c r="P132" i="4"/>
  <c r="I132" i="4"/>
  <c r="S132" i="4"/>
  <c r="N132" i="4"/>
  <c r="AD132" i="4" s="1"/>
  <c r="T132" i="4"/>
  <c r="R131" i="4"/>
  <c r="T131" i="4"/>
  <c r="S131" i="4"/>
  <c r="I131" i="4"/>
  <c r="N131" i="4"/>
  <c r="AD131" i="4" s="1"/>
  <c r="P131" i="4"/>
  <c r="I65" i="14"/>
  <c r="L28" i="3"/>
  <c r="H48" i="2"/>
  <c r="AI353" i="5"/>
  <c r="AJ353" i="5" s="1"/>
  <c r="AK353" i="5" s="1"/>
  <c r="AL353" i="5" s="1"/>
  <c r="Y71" i="4"/>
  <c r="AA71" i="4" s="1"/>
  <c r="AA180" i="5"/>
  <c r="Y124" i="6"/>
  <c r="AB124" i="6" s="1"/>
  <c r="AB203" i="5"/>
  <c r="AA163" i="5"/>
  <c r="Y117" i="6"/>
  <c r="AB117" i="6" s="1"/>
  <c r="Y118" i="6"/>
  <c r="AB118" i="6" s="1"/>
  <c r="AB161" i="5"/>
  <c r="AA191" i="5"/>
  <c r="AA167" i="5"/>
  <c r="AB168" i="5"/>
  <c r="AB198" i="5"/>
  <c r="K31" i="2"/>
  <c r="I76" i="2"/>
  <c r="K30" i="2"/>
  <c r="L30" i="2" s="1"/>
  <c r="K26" i="2"/>
  <c r="I66" i="2"/>
  <c r="I63" i="2"/>
  <c r="I68" i="2" s="1"/>
  <c r="I39" i="2"/>
  <c r="I40" i="2"/>
  <c r="I47" i="2" s="1"/>
  <c r="J43" i="2"/>
  <c r="J39" i="2" s="1"/>
  <c r="P84" i="5"/>
  <c r="AD174" i="5"/>
  <c r="AD256" i="5"/>
  <c r="AC98" i="5"/>
  <c r="AD169" i="5"/>
  <c r="AC109" i="5"/>
  <c r="AC127" i="5"/>
  <c r="AC73" i="6"/>
  <c r="AD203" i="5"/>
  <c r="AD166" i="5"/>
  <c r="AB184" i="5"/>
  <c r="AB160" i="5"/>
  <c r="AA114" i="6"/>
  <c r="AB102" i="6"/>
  <c r="AA188" i="5"/>
  <c r="AB120" i="6"/>
  <c r="AB196" i="5"/>
  <c r="AD162" i="5"/>
  <c r="AB172" i="5"/>
  <c r="AD182" i="5"/>
  <c r="AB112" i="6"/>
  <c r="AA156" i="5"/>
  <c r="AA204" i="5"/>
  <c r="AB192" i="5"/>
  <c r="AB158" i="5"/>
  <c r="AA104" i="6"/>
  <c r="W16" i="9"/>
  <c r="W24" i="9"/>
  <c r="W32" i="9"/>
  <c r="W40" i="9"/>
  <c r="W48" i="9"/>
  <c r="W56" i="9"/>
  <c r="W64" i="9"/>
  <c r="W72" i="9"/>
  <c r="W80" i="9"/>
  <c r="W88" i="9"/>
  <c r="W96" i="9"/>
  <c r="W104" i="9"/>
  <c r="W112" i="9"/>
  <c r="W120" i="9"/>
  <c r="W128" i="9"/>
  <c r="W136" i="9"/>
  <c r="W144" i="9"/>
  <c r="AE7" i="9"/>
  <c r="W19" i="9"/>
  <c r="W27" i="9"/>
  <c r="W35" i="9"/>
  <c r="W43" i="9"/>
  <c r="W51" i="9"/>
  <c r="W59" i="9"/>
  <c r="W67" i="9"/>
  <c r="W75" i="9"/>
  <c r="W83" i="9"/>
  <c r="W91" i="9"/>
  <c r="W99" i="9"/>
  <c r="W107" i="9"/>
  <c r="W115" i="9"/>
  <c r="W123" i="9"/>
  <c r="W131" i="9"/>
  <c r="W139" i="9"/>
  <c r="W20" i="9"/>
  <c r="W28" i="9"/>
  <c r="W36" i="9"/>
  <c r="W44" i="9"/>
  <c r="W52" i="9"/>
  <c r="W60" i="9"/>
  <c r="W68" i="9"/>
  <c r="W76" i="9"/>
  <c r="W84" i="9"/>
  <c r="W92" i="9"/>
  <c r="W100" i="9"/>
  <c r="W108" i="9"/>
  <c r="W116" i="9"/>
  <c r="W124" i="9"/>
  <c r="W132" i="9"/>
  <c r="W140" i="9"/>
  <c r="W15" i="9"/>
  <c r="W23" i="9"/>
  <c r="W31" i="9"/>
  <c r="W39" i="9"/>
  <c r="W47" i="9"/>
  <c r="W55" i="9"/>
  <c r="W63" i="9"/>
  <c r="W71" i="9"/>
  <c r="W79" i="9"/>
  <c r="W87" i="9"/>
  <c r="W95" i="9"/>
  <c r="W103" i="9"/>
  <c r="W111" i="9"/>
  <c r="W119" i="9"/>
  <c r="W127" i="9"/>
  <c r="W135" i="9"/>
  <c r="W143" i="9"/>
  <c r="W142" i="9"/>
  <c r="W126" i="9"/>
  <c r="W110" i="9"/>
  <c r="W94" i="9"/>
  <c r="W78" i="9"/>
  <c r="W62" i="9"/>
  <c r="W46" i="9"/>
  <c r="W30" i="9"/>
  <c r="W145" i="9"/>
  <c r="W129" i="9"/>
  <c r="W113" i="9"/>
  <c r="W97" i="9"/>
  <c r="W81" i="9"/>
  <c r="W65" i="9"/>
  <c r="W49" i="9"/>
  <c r="W33" i="9"/>
  <c r="W17" i="9"/>
  <c r="W138" i="9"/>
  <c r="W122" i="9"/>
  <c r="W106" i="9"/>
  <c r="W90" i="9"/>
  <c r="W74" i="9"/>
  <c r="W58" i="9"/>
  <c r="W42" i="9"/>
  <c r="W26" i="9"/>
  <c r="W141" i="9"/>
  <c r="W125" i="9"/>
  <c r="W109" i="9"/>
  <c r="W93" i="9"/>
  <c r="W77" i="9"/>
  <c r="W61" i="9"/>
  <c r="W45" i="9"/>
  <c r="W29" i="9"/>
  <c r="W134" i="9"/>
  <c r="W118" i="9"/>
  <c r="W102" i="9"/>
  <c r="W86" i="9"/>
  <c r="W70" i="9"/>
  <c r="W54" i="9"/>
  <c r="W38" i="9"/>
  <c r="W22" i="9"/>
  <c r="W137" i="9"/>
  <c r="W121" i="9"/>
  <c r="W105" i="9"/>
  <c r="W89" i="9"/>
  <c r="W73" i="9"/>
  <c r="W57" i="9"/>
  <c r="W41" i="9"/>
  <c r="W25" i="9"/>
  <c r="W146" i="9"/>
  <c r="W130" i="9"/>
  <c r="W114" i="9"/>
  <c r="W98" i="9"/>
  <c r="W82" i="9"/>
  <c r="W66" i="9"/>
  <c r="W50" i="9"/>
  <c r="W34" i="9"/>
  <c r="W18" i="9"/>
  <c r="W133" i="9"/>
  <c r="W117" i="9"/>
  <c r="W101" i="9"/>
  <c r="W85" i="9"/>
  <c r="W69" i="9"/>
  <c r="W53" i="9"/>
  <c r="W37" i="9"/>
  <c r="W21" i="9"/>
  <c r="W13" i="9"/>
  <c r="W14" i="9"/>
  <c r="AC82" i="6"/>
  <c r="AC66" i="6"/>
  <c r="AC110" i="5"/>
  <c r="H353" i="5"/>
  <c r="H420" i="5" s="1"/>
  <c r="AF420" i="5" s="1"/>
  <c r="AB179" i="5"/>
  <c r="AA179" i="5"/>
  <c r="AA172" i="5"/>
  <c r="AD186" i="5"/>
  <c r="AB127" i="6"/>
  <c r="AC127" i="6" s="1"/>
  <c r="AD197" i="5"/>
  <c r="AD189" i="5"/>
  <c r="AC125" i="5"/>
  <c r="AD178" i="5"/>
  <c r="AC69" i="6"/>
  <c r="AC90" i="5"/>
  <c r="P62" i="4"/>
  <c r="AA106" i="6"/>
  <c r="AB106" i="6"/>
  <c r="AC88" i="6"/>
  <c r="AC85" i="6"/>
  <c r="AC68" i="6"/>
  <c r="AA109" i="6"/>
  <c r="AB109" i="6"/>
  <c r="AA119" i="6"/>
  <c r="AB119" i="6"/>
  <c r="AA176" i="5"/>
  <c r="AB176" i="5"/>
  <c r="AD163" i="5"/>
  <c r="AC75" i="6"/>
  <c r="AC130" i="5"/>
  <c r="AC101" i="5"/>
  <c r="AC114" i="5"/>
  <c r="AC72" i="6"/>
  <c r="AC108" i="5"/>
  <c r="AC92" i="5"/>
  <c r="AC123" i="5"/>
  <c r="AC70" i="6"/>
  <c r="AC118" i="5"/>
  <c r="AC86" i="5"/>
  <c r="AC105" i="5"/>
  <c r="AC137" i="5"/>
  <c r="AC111" i="5"/>
  <c r="AD157" i="5"/>
  <c r="AD154" i="5"/>
  <c r="AD170" i="5"/>
  <c r="AC120" i="5"/>
  <c r="AC40" i="4"/>
  <c r="AC62" i="6"/>
  <c r="AC65" i="6"/>
  <c r="AD185" i="5"/>
  <c r="AC88" i="5"/>
  <c r="AC133" i="5"/>
  <c r="AC107" i="5"/>
  <c r="AC115" i="5"/>
  <c r="AD206" i="5"/>
  <c r="AD155" i="5"/>
  <c r="AA197" i="5"/>
  <c r="AB197" i="5"/>
  <c r="AB113" i="6"/>
  <c r="AA113" i="6"/>
  <c r="AA195" i="5"/>
  <c r="AB195" i="5"/>
  <c r="AB128" i="6"/>
  <c r="AA128" i="6"/>
  <c r="AB157" i="5"/>
  <c r="AA157" i="5"/>
  <c r="AA175" i="5"/>
  <c r="AB175" i="5"/>
  <c r="AA121" i="6"/>
  <c r="AB121" i="6"/>
  <c r="AA116" i="6"/>
  <c r="AB116" i="6"/>
  <c r="AB165" i="5"/>
  <c r="AA165" i="5"/>
  <c r="AA171" i="5"/>
  <c r="AB171" i="5"/>
  <c r="AB130" i="6"/>
  <c r="AA130" i="6"/>
  <c r="R203" i="6"/>
  <c r="I203" i="6"/>
  <c r="T203" i="6"/>
  <c r="N203" i="6"/>
  <c r="AD203" i="6" s="1"/>
  <c r="S203" i="6"/>
  <c r="P203" i="6"/>
  <c r="R295" i="5"/>
  <c r="I295" i="5"/>
  <c r="O295" i="5"/>
  <c r="S295" i="5"/>
  <c r="T295" i="5"/>
  <c r="P295" i="5"/>
  <c r="N295" i="5"/>
  <c r="R293" i="5"/>
  <c r="I293" i="5"/>
  <c r="S293" i="5"/>
  <c r="O293" i="5"/>
  <c r="T293" i="5"/>
  <c r="P293" i="5"/>
  <c r="N293" i="5"/>
  <c r="R254" i="5"/>
  <c r="I254" i="5"/>
  <c r="Y254" i="5" s="1"/>
  <c r="T254" i="5"/>
  <c r="N254" i="5"/>
  <c r="O254" i="5"/>
  <c r="S254" i="5"/>
  <c r="P254" i="5"/>
  <c r="R233" i="5"/>
  <c r="I233" i="5"/>
  <c r="Y233" i="5" s="1"/>
  <c r="S233" i="5"/>
  <c r="P233" i="5"/>
  <c r="O233" i="5"/>
  <c r="N233" i="5"/>
  <c r="T233" i="5"/>
  <c r="R171" i="6"/>
  <c r="I171" i="6"/>
  <c r="Y171" i="6" s="1"/>
  <c r="S171" i="6"/>
  <c r="P171" i="6"/>
  <c r="N171" i="6"/>
  <c r="AD171" i="6" s="1"/>
  <c r="T171" i="6"/>
  <c r="R147" i="6"/>
  <c r="I147" i="6"/>
  <c r="Y147" i="6" s="1"/>
  <c r="S147" i="6"/>
  <c r="P147" i="6"/>
  <c r="N147" i="6"/>
  <c r="AD147" i="6" s="1"/>
  <c r="T147" i="6"/>
  <c r="R154" i="6"/>
  <c r="I154" i="6"/>
  <c r="T154" i="6"/>
  <c r="S154" i="6"/>
  <c r="P154" i="6"/>
  <c r="N154" i="6"/>
  <c r="AD154" i="6" s="1"/>
  <c r="R245" i="5"/>
  <c r="I245" i="5"/>
  <c r="Y245" i="5" s="1"/>
  <c r="S245" i="5"/>
  <c r="O245" i="5"/>
  <c r="N245" i="5"/>
  <c r="T245" i="5"/>
  <c r="P245" i="5"/>
  <c r="R173" i="6"/>
  <c r="I173" i="6"/>
  <c r="Y173" i="6" s="1"/>
  <c r="S173" i="6"/>
  <c r="P173" i="6"/>
  <c r="N173" i="6"/>
  <c r="AD173" i="6" s="1"/>
  <c r="T173" i="6"/>
  <c r="R191" i="6"/>
  <c r="I191" i="6"/>
  <c r="S191" i="6"/>
  <c r="P191" i="6"/>
  <c r="T191" i="6"/>
  <c r="N191" i="6"/>
  <c r="AD191" i="6" s="1"/>
  <c r="R155" i="6"/>
  <c r="I155" i="6"/>
  <c r="Y155" i="6" s="1"/>
  <c r="S155" i="6"/>
  <c r="P155" i="6"/>
  <c r="N155" i="6"/>
  <c r="AD155" i="6" s="1"/>
  <c r="T155" i="6"/>
  <c r="R265" i="5"/>
  <c r="I265" i="5"/>
  <c r="Y265" i="5" s="1"/>
  <c r="O265" i="5"/>
  <c r="S265" i="5"/>
  <c r="T265" i="5"/>
  <c r="N265" i="5"/>
  <c r="P265" i="5"/>
  <c r="R253" i="5"/>
  <c r="I253" i="5"/>
  <c r="Y253" i="5" s="1"/>
  <c r="O253" i="5"/>
  <c r="S253" i="5"/>
  <c r="N253" i="5"/>
  <c r="T253" i="5"/>
  <c r="P253" i="5"/>
  <c r="R112" i="4"/>
  <c r="I112" i="4"/>
  <c r="S112" i="4"/>
  <c r="N112" i="4"/>
  <c r="AD112" i="4" s="1"/>
  <c r="T112" i="4"/>
  <c r="P112" i="4"/>
  <c r="J196" i="6"/>
  <c r="J238" i="6" s="1"/>
  <c r="J280" i="6" s="1"/>
  <c r="J322" i="6" s="1"/>
  <c r="J312" i="5"/>
  <c r="J379" i="5" s="1"/>
  <c r="J446" i="5" s="1"/>
  <c r="R327" i="5"/>
  <c r="I327" i="5"/>
  <c r="O327" i="5"/>
  <c r="S327" i="5"/>
  <c r="T327" i="5"/>
  <c r="P327" i="5"/>
  <c r="N327" i="5"/>
  <c r="R210" i="6"/>
  <c r="I210" i="6"/>
  <c r="S210" i="6"/>
  <c r="P210" i="6"/>
  <c r="N210" i="6"/>
  <c r="AD210" i="6" s="1"/>
  <c r="T210" i="6"/>
  <c r="R156" i="6"/>
  <c r="I156" i="6"/>
  <c r="Y156" i="6" s="1"/>
  <c r="AA156" i="6" s="1"/>
  <c r="N156" i="6"/>
  <c r="AD156" i="6" s="1"/>
  <c r="T156" i="6"/>
  <c r="S156" i="6"/>
  <c r="P156" i="6"/>
  <c r="R259" i="5"/>
  <c r="I259" i="5"/>
  <c r="Y259" i="5" s="1"/>
  <c r="S259" i="5"/>
  <c r="P259" i="5"/>
  <c r="N259" i="5"/>
  <c r="O259" i="5"/>
  <c r="AD259" i="5" s="1"/>
  <c r="T259" i="5"/>
  <c r="H200" i="6"/>
  <c r="R255" i="5"/>
  <c r="I255" i="5"/>
  <c r="Y255" i="5" s="1"/>
  <c r="S255" i="5"/>
  <c r="O255" i="5"/>
  <c r="T255" i="5"/>
  <c r="N255" i="5"/>
  <c r="P255" i="5"/>
  <c r="R89" i="4"/>
  <c r="I89" i="4"/>
  <c r="T89" i="4"/>
  <c r="S89" i="4"/>
  <c r="P89" i="4"/>
  <c r="N89" i="4"/>
  <c r="AD89" i="4" s="1"/>
  <c r="J288" i="5"/>
  <c r="J355" i="5" s="1"/>
  <c r="J422" i="5" s="1"/>
  <c r="R221" i="5"/>
  <c r="I221" i="5"/>
  <c r="Y221" i="5" s="1"/>
  <c r="S221" i="5"/>
  <c r="P221" i="5"/>
  <c r="O221" i="5"/>
  <c r="T221" i="5"/>
  <c r="N221" i="5"/>
  <c r="R238" i="5"/>
  <c r="I238" i="5"/>
  <c r="Y238" i="5" s="1"/>
  <c r="P238" i="5"/>
  <c r="T238" i="5"/>
  <c r="S238" i="5"/>
  <c r="O238" i="5"/>
  <c r="N238" i="5"/>
  <c r="R263" i="5"/>
  <c r="I263" i="5"/>
  <c r="Y263" i="5" s="1"/>
  <c r="S263" i="5"/>
  <c r="O263" i="5"/>
  <c r="P263" i="5"/>
  <c r="T263" i="5"/>
  <c r="N263" i="5"/>
  <c r="R252" i="5"/>
  <c r="I252" i="5"/>
  <c r="Y252" i="5" s="1"/>
  <c r="P252" i="5"/>
  <c r="T252" i="5"/>
  <c r="N252" i="5"/>
  <c r="S252" i="5"/>
  <c r="O252" i="5"/>
  <c r="R234" i="5"/>
  <c r="I234" i="5"/>
  <c r="Y234" i="5" s="1"/>
  <c r="P234" i="5"/>
  <c r="S234" i="5"/>
  <c r="O234" i="5"/>
  <c r="N234" i="5"/>
  <c r="T234" i="5"/>
  <c r="R108" i="4"/>
  <c r="I108" i="4"/>
  <c r="S108" i="4"/>
  <c r="N108" i="4"/>
  <c r="AD108" i="4" s="1"/>
  <c r="P108" i="4"/>
  <c r="T108" i="4"/>
  <c r="R224" i="5"/>
  <c r="I224" i="5"/>
  <c r="Y224" i="5" s="1"/>
  <c r="T224" i="5"/>
  <c r="N224" i="5"/>
  <c r="S224" i="5"/>
  <c r="P224" i="5"/>
  <c r="O224" i="5"/>
  <c r="R167" i="6"/>
  <c r="I167" i="6"/>
  <c r="Y167" i="6" s="1"/>
  <c r="N167" i="6"/>
  <c r="AD167" i="6" s="1"/>
  <c r="T167" i="6"/>
  <c r="S167" i="6"/>
  <c r="P167" i="6"/>
  <c r="R151" i="6"/>
  <c r="I151" i="6"/>
  <c r="Y151" i="6" s="1"/>
  <c r="N151" i="6"/>
  <c r="AD151" i="6" s="1"/>
  <c r="T151" i="6"/>
  <c r="S151" i="6"/>
  <c r="P151" i="6"/>
  <c r="R162" i="6"/>
  <c r="I162" i="6"/>
  <c r="Y162" i="6" s="1"/>
  <c r="T162" i="6"/>
  <c r="S162" i="6"/>
  <c r="P162" i="6"/>
  <c r="N162" i="6"/>
  <c r="AD162" i="6" s="1"/>
  <c r="R229" i="5"/>
  <c r="I229" i="5"/>
  <c r="Y229" i="5" s="1"/>
  <c r="S229" i="5"/>
  <c r="O229" i="5"/>
  <c r="N229" i="5"/>
  <c r="T229" i="5"/>
  <c r="P229" i="5"/>
  <c r="R273" i="5"/>
  <c r="I273" i="5"/>
  <c r="Y273" i="5" s="1"/>
  <c r="O273" i="5"/>
  <c r="S273" i="5"/>
  <c r="T273" i="5"/>
  <c r="P273" i="5"/>
  <c r="N273" i="5"/>
  <c r="R195" i="6"/>
  <c r="I195" i="6"/>
  <c r="T195" i="6"/>
  <c r="N195" i="6"/>
  <c r="AD195" i="6" s="1"/>
  <c r="S195" i="6"/>
  <c r="P195" i="6"/>
  <c r="AA160" i="5"/>
  <c r="AC89" i="5"/>
  <c r="AC121" i="5"/>
  <c r="AC77" i="6"/>
  <c r="R264" i="5"/>
  <c r="I264" i="5"/>
  <c r="Y264" i="5" s="1"/>
  <c r="P264" i="5"/>
  <c r="T264" i="5"/>
  <c r="N264" i="5"/>
  <c r="O264" i="5"/>
  <c r="S264" i="5"/>
  <c r="I16" i="8"/>
  <c r="I19" i="8" s="1"/>
  <c r="I38" i="12"/>
  <c r="I42" i="12" s="1"/>
  <c r="H38" i="16" s="1"/>
  <c r="AB200" i="5"/>
  <c r="AA200" i="5"/>
  <c r="AC104" i="5"/>
  <c r="AC78" i="6"/>
  <c r="AC81" i="6"/>
  <c r="AC135" i="5"/>
  <c r="AD202" i="5"/>
  <c r="AD260" i="5"/>
  <c r="AC117" i="5"/>
  <c r="AC119" i="5"/>
  <c r="R250" i="5"/>
  <c r="I250" i="5"/>
  <c r="Y250" i="5" s="1"/>
  <c r="P250" i="5"/>
  <c r="S250" i="5"/>
  <c r="O250" i="5"/>
  <c r="N250" i="5"/>
  <c r="T250" i="5"/>
  <c r="R170" i="6"/>
  <c r="I170" i="6"/>
  <c r="T170" i="6"/>
  <c r="S170" i="6"/>
  <c r="P170" i="6"/>
  <c r="N170" i="6"/>
  <c r="AD170" i="6" s="1"/>
  <c r="AD194" i="5"/>
  <c r="AC113" i="5"/>
  <c r="K155" i="3"/>
  <c r="L88" i="3"/>
  <c r="AC103" i="5"/>
  <c r="AD177" i="5"/>
  <c r="AD198" i="5"/>
  <c r="AC64" i="6"/>
  <c r="R258" i="5"/>
  <c r="I258" i="5"/>
  <c r="Y258" i="5" s="1"/>
  <c r="T258" i="5"/>
  <c r="N258" i="5"/>
  <c r="P258" i="5"/>
  <c r="S258" i="5"/>
  <c r="O258" i="5"/>
  <c r="AC87" i="6"/>
  <c r="AC71" i="6"/>
  <c r="AC93" i="5"/>
  <c r="AC112" i="5"/>
  <c r="AC99" i="5"/>
  <c r="AC122" i="5"/>
  <c r="AC67" i="6"/>
  <c r="AC124" i="5"/>
  <c r="AC134" i="5"/>
  <c r="AC102" i="5"/>
  <c r="R331" i="5"/>
  <c r="I331" i="5"/>
  <c r="O331" i="5"/>
  <c r="S331" i="5"/>
  <c r="N331" i="5"/>
  <c r="T331" i="5"/>
  <c r="P331" i="5"/>
  <c r="R232" i="5"/>
  <c r="I232" i="5"/>
  <c r="Y232" i="5" s="1"/>
  <c r="T232" i="5"/>
  <c r="N232" i="5"/>
  <c r="P232" i="5"/>
  <c r="O232" i="5"/>
  <c r="S232" i="5"/>
  <c r="R110" i="4"/>
  <c r="I110" i="4"/>
  <c r="S110" i="4"/>
  <c r="P110" i="4"/>
  <c r="N110" i="4"/>
  <c r="AD110" i="4" s="1"/>
  <c r="T110" i="4"/>
  <c r="R329" i="5"/>
  <c r="I329" i="5"/>
  <c r="S329" i="5"/>
  <c r="O329" i="5"/>
  <c r="P329" i="5"/>
  <c r="N329" i="5"/>
  <c r="T329" i="5"/>
  <c r="R323" i="5"/>
  <c r="I323" i="5"/>
  <c r="O323" i="5"/>
  <c r="S323" i="5"/>
  <c r="N323" i="5"/>
  <c r="T323" i="5"/>
  <c r="P323" i="5"/>
  <c r="R333" i="5"/>
  <c r="I333" i="5"/>
  <c r="S333" i="5"/>
  <c r="O333" i="5"/>
  <c r="T333" i="5"/>
  <c r="P333" i="5"/>
  <c r="N333" i="5"/>
  <c r="J332" i="5"/>
  <c r="J399" i="5" s="1"/>
  <c r="J466" i="5" s="1"/>
  <c r="R251" i="5"/>
  <c r="I251" i="5"/>
  <c r="Y251" i="5" s="1"/>
  <c r="O251" i="5"/>
  <c r="S251" i="5"/>
  <c r="P251" i="5"/>
  <c r="N251" i="5"/>
  <c r="T251" i="5"/>
  <c r="R212" i="6"/>
  <c r="I212" i="6"/>
  <c r="T212" i="6"/>
  <c r="S212" i="6"/>
  <c r="P212" i="6"/>
  <c r="N212" i="6"/>
  <c r="AD212" i="6" s="1"/>
  <c r="R148" i="6"/>
  <c r="I148" i="6"/>
  <c r="Y148" i="6" s="1"/>
  <c r="N148" i="6"/>
  <c r="AD148" i="6" s="1"/>
  <c r="T148" i="6"/>
  <c r="S148" i="6"/>
  <c r="P148" i="6"/>
  <c r="J154" i="3"/>
  <c r="R335" i="5"/>
  <c r="I335" i="5"/>
  <c r="O335" i="5"/>
  <c r="S335" i="5"/>
  <c r="T335" i="5"/>
  <c r="P335" i="5"/>
  <c r="N335" i="5"/>
  <c r="R230" i="5"/>
  <c r="I230" i="5"/>
  <c r="Y230" i="5" s="1"/>
  <c r="P230" i="5"/>
  <c r="O230" i="5"/>
  <c r="N230" i="5"/>
  <c r="T230" i="5"/>
  <c r="S230" i="5"/>
  <c r="R157" i="6"/>
  <c r="I157" i="6"/>
  <c r="Y157" i="6" s="1"/>
  <c r="S157" i="6"/>
  <c r="P157" i="6"/>
  <c r="N157" i="6"/>
  <c r="AD157" i="6" s="1"/>
  <c r="T157" i="6"/>
  <c r="R247" i="5"/>
  <c r="I247" i="5"/>
  <c r="Y247" i="5" s="1"/>
  <c r="O247" i="5"/>
  <c r="P247" i="5"/>
  <c r="N247" i="5"/>
  <c r="T247" i="5"/>
  <c r="S247" i="5"/>
  <c r="R244" i="5"/>
  <c r="I244" i="5"/>
  <c r="Y244" i="5" s="1"/>
  <c r="T244" i="5"/>
  <c r="N244" i="5"/>
  <c r="O244" i="5"/>
  <c r="S244" i="5"/>
  <c r="P244" i="5"/>
  <c r="R269" i="5"/>
  <c r="I269" i="5"/>
  <c r="Y269" i="5" s="1"/>
  <c r="O269" i="5"/>
  <c r="S269" i="5"/>
  <c r="N269" i="5"/>
  <c r="T269" i="5"/>
  <c r="P269" i="5"/>
  <c r="R271" i="5"/>
  <c r="I271" i="5"/>
  <c r="Y271" i="5" s="1"/>
  <c r="S271" i="5"/>
  <c r="O271" i="5"/>
  <c r="T271" i="5"/>
  <c r="P271" i="5"/>
  <c r="N271" i="5"/>
  <c r="R272" i="5"/>
  <c r="I272" i="5"/>
  <c r="Y272" i="5" s="1"/>
  <c r="P272" i="5"/>
  <c r="T272" i="5"/>
  <c r="N272" i="5"/>
  <c r="O272" i="5"/>
  <c r="S272" i="5"/>
  <c r="R163" i="6"/>
  <c r="I163" i="6"/>
  <c r="Y163" i="6" s="1"/>
  <c r="S163" i="6"/>
  <c r="P163" i="6"/>
  <c r="N163" i="6"/>
  <c r="AD163" i="6" s="1"/>
  <c r="T163" i="6"/>
  <c r="R113" i="4"/>
  <c r="I113" i="4"/>
  <c r="S113" i="4"/>
  <c r="P113" i="4"/>
  <c r="N113" i="4"/>
  <c r="AD113" i="4" s="1"/>
  <c r="T113" i="4"/>
  <c r="R150" i="6"/>
  <c r="I150" i="6"/>
  <c r="Y150" i="6" s="1"/>
  <c r="P150" i="6"/>
  <c r="N150" i="6"/>
  <c r="AD150" i="6" s="1"/>
  <c r="T150" i="6"/>
  <c r="S150" i="6"/>
  <c r="R241" i="5"/>
  <c r="I241" i="5"/>
  <c r="Y241" i="5" s="1"/>
  <c r="S241" i="5"/>
  <c r="N241" i="5"/>
  <c r="T241" i="5"/>
  <c r="P241" i="5"/>
  <c r="O241" i="5"/>
  <c r="R246" i="5"/>
  <c r="I246" i="5"/>
  <c r="Y246" i="5" s="1"/>
  <c r="P246" i="5"/>
  <c r="O246" i="5"/>
  <c r="N246" i="5"/>
  <c r="T246" i="5"/>
  <c r="S246" i="5"/>
  <c r="R161" i="6"/>
  <c r="I161" i="6"/>
  <c r="Y161" i="6" s="1"/>
  <c r="N161" i="6"/>
  <c r="AD161" i="6" s="1"/>
  <c r="T161" i="6"/>
  <c r="S161" i="6"/>
  <c r="P161" i="6"/>
  <c r="AD184" i="5"/>
  <c r="AD168" i="5"/>
  <c r="R262" i="5"/>
  <c r="I262" i="5"/>
  <c r="Y262" i="5" s="1"/>
  <c r="T262" i="5"/>
  <c r="N262" i="5"/>
  <c r="P262" i="5"/>
  <c r="S262" i="5"/>
  <c r="O262" i="5"/>
  <c r="AD171" i="5"/>
  <c r="AD196" i="5"/>
  <c r="R226" i="5"/>
  <c r="I226" i="5"/>
  <c r="Y226" i="5" s="1"/>
  <c r="P226" i="5"/>
  <c r="N226" i="5"/>
  <c r="T226" i="5"/>
  <c r="S226" i="5"/>
  <c r="O226" i="5"/>
  <c r="AD183" i="5"/>
  <c r="AD201" i="5"/>
  <c r="AD193" i="5"/>
  <c r="AD191" i="5"/>
  <c r="AC76" i="6"/>
  <c r="R267" i="5"/>
  <c r="I267" i="5"/>
  <c r="Y267" i="5" s="1"/>
  <c r="S267" i="5"/>
  <c r="O267" i="5"/>
  <c r="P267" i="5"/>
  <c r="N267" i="5"/>
  <c r="T267" i="5"/>
  <c r="R227" i="5"/>
  <c r="I227" i="5"/>
  <c r="Y227" i="5" s="1"/>
  <c r="O227" i="5"/>
  <c r="N227" i="5"/>
  <c r="T227" i="5"/>
  <c r="S227" i="5"/>
  <c r="P227" i="5"/>
  <c r="R160" i="6"/>
  <c r="I160" i="6"/>
  <c r="Y160" i="6" s="1"/>
  <c r="S160" i="6"/>
  <c r="P160" i="6"/>
  <c r="N160" i="6"/>
  <c r="AD160" i="6" s="1"/>
  <c r="T160" i="6"/>
  <c r="J211" i="6"/>
  <c r="J253" i="6" s="1"/>
  <c r="J295" i="6" s="1"/>
  <c r="J337" i="6" s="1"/>
  <c r="R169" i="6"/>
  <c r="I169" i="6"/>
  <c r="Y169" i="6" s="1"/>
  <c r="N169" i="6"/>
  <c r="AD169" i="6" s="1"/>
  <c r="T169" i="6"/>
  <c r="S169" i="6"/>
  <c r="P169" i="6"/>
  <c r="R242" i="5"/>
  <c r="I242" i="5"/>
  <c r="Y242" i="5" s="1"/>
  <c r="P242" i="5"/>
  <c r="N242" i="5"/>
  <c r="T242" i="5"/>
  <c r="S242" i="5"/>
  <c r="O242" i="5"/>
  <c r="R166" i="6"/>
  <c r="I166" i="6"/>
  <c r="Y166" i="6" s="1"/>
  <c r="P166" i="6"/>
  <c r="N166" i="6"/>
  <c r="AD166" i="6" s="1"/>
  <c r="T166" i="6"/>
  <c r="S166" i="6"/>
  <c r="J316" i="5"/>
  <c r="J383" i="5" s="1"/>
  <c r="J450" i="5" s="1"/>
  <c r="R249" i="5"/>
  <c r="I249" i="5"/>
  <c r="Y249" i="5" s="1"/>
  <c r="S249" i="5"/>
  <c r="P249" i="5"/>
  <c r="O249" i="5"/>
  <c r="N249" i="5"/>
  <c r="T249" i="5"/>
  <c r="R325" i="5"/>
  <c r="I325" i="5"/>
  <c r="S325" i="5"/>
  <c r="O325" i="5"/>
  <c r="T325" i="5"/>
  <c r="P325" i="5"/>
  <c r="N325" i="5"/>
  <c r="J320" i="5"/>
  <c r="J387" i="5" s="1"/>
  <c r="J454" i="5" s="1"/>
  <c r="R317" i="5"/>
  <c r="I317" i="5"/>
  <c r="Y317" i="5" s="1"/>
  <c r="S317" i="5"/>
  <c r="O317" i="5"/>
  <c r="T317" i="5"/>
  <c r="P317" i="5"/>
  <c r="N317" i="5"/>
  <c r="R328" i="5"/>
  <c r="I328" i="5"/>
  <c r="T328" i="5"/>
  <c r="N328" i="5"/>
  <c r="P328" i="5"/>
  <c r="S328" i="5"/>
  <c r="O328" i="5"/>
  <c r="R307" i="5"/>
  <c r="I307" i="5"/>
  <c r="O307" i="5"/>
  <c r="S307" i="5"/>
  <c r="N307" i="5"/>
  <c r="T307" i="5"/>
  <c r="P307" i="5"/>
  <c r="R235" i="5"/>
  <c r="I235" i="5"/>
  <c r="Y235" i="5" s="1"/>
  <c r="O235" i="5"/>
  <c r="S235" i="5"/>
  <c r="P235" i="5"/>
  <c r="N235" i="5"/>
  <c r="T235" i="5"/>
  <c r="R172" i="6"/>
  <c r="I172" i="6"/>
  <c r="Y172" i="6" s="1"/>
  <c r="N172" i="6"/>
  <c r="AD172" i="6" s="1"/>
  <c r="T172" i="6"/>
  <c r="S172" i="6"/>
  <c r="P172" i="6"/>
  <c r="R85" i="4"/>
  <c r="I85" i="4"/>
  <c r="N85" i="4"/>
  <c r="AD85" i="4" s="1"/>
  <c r="T85" i="4"/>
  <c r="S85" i="4"/>
  <c r="P85" i="4"/>
  <c r="R109" i="4"/>
  <c r="I109" i="4"/>
  <c r="S109" i="4"/>
  <c r="P109" i="4"/>
  <c r="T109" i="4"/>
  <c r="N109" i="4"/>
  <c r="AD109" i="4" s="1"/>
  <c r="R239" i="5"/>
  <c r="I239" i="5"/>
  <c r="Y239" i="5" s="1"/>
  <c r="O239" i="5"/>
  <c r="T239" i="5"/>
  <c r="S239" i="5"/>
  <c r="P239" i="5"/>
  <c r="N239" i="5"/>
  <c r="J206" i="6"/>
  <c r="J248" i="6" s="1"/>
  <c r="J290" i="6" s="1"/>
  <c r="J332" i="6" s="1"/>
  <c r="R164" i="6"/>
  <c r="I164" i="6"/>
  <c r="N164" i="6"/>
  <c r="AD164" i="6" s="1"/>
  <c r="T164" i="6"/>
  <c r="S164" i="6"/>
  <c r="P164" i="6"/>
  <c r="R270" i="5"/>
  <c r="I270" i="5"/>
  <c r="Y270" i="5" s="1"/>
  <c r="T270" i="5"/>
  <c r="N270" i="5"/>
  <c r="P270" i="5"/>
  <c r="S270" i="5"/>
  <c r="O270" i="5"/>
  <c r="R222" i="5"/>
  <c r="I222" i="5"/>
  <c r="Y222" i="5" s="1"/>
  <c r="P222" i="5"/>
  <c r="O222" i="5"/>
  <c r="T222" i="5"/>
  <c r="N222" i="5"/>
  <c r="S222" i="5"/>
  <c r="R257" i="5"/>
  <c r="I257" i="5"/>
  <c r="Y257" i="5" s="1"/>
  <c r="O257" i="5"/>
  <c r="P257" i="5"/>
  <c r="T257" i="5"/>
  <c r="N257" i="5"/>
  <c r="S257" i="5"/>
  <c r="R231" i="5"/>
  <c r="I231" i="5"/>
  <c r="Y231" i="5" s="1"/>
  <c r="O231" i="5"/>
  <c r="P231" i="5"/>
  <c r="N231" i="5"/>
  <c r="T231" i="5"/>
  <c r="S231" i="5"/>
  <c r="R292" i="5"/>
  <c r="I292" i="5"/>
  <c r="T292" i="5"/>
  <c r="N292" i="5"/>
  <c r="P292" i="5"/>
  <c r="S292" i="5"/>
  <c r="O292" i="5"/>
  <c r="R236" i="5"/>
  <c r="I236" i="5"/>
  <c r="Y236" i="5" s="1"/>
  <c r="T236" i="5"/>
  <c r="N236" i="5"/>
  <c r="S236" i="5"/>
  <c r="P236" i="5"/>
  <c r="O236" i="5"/>
  <c r="R237" i="5"/>
  <c r="I237" i="5"/>
  <c r="Y237" i="5" s="1"/>
  <c r="S237" i="5"/>
  <c r="T237" i="5"/>
  <c r="P237" i="5"/>
  <c r="O237" i="5"/>
  <c r="N237" i="5"/>
  <c r="R243" i="5"/>
  <c r="I243" i="5"/>
  <c r="Y243" i="5" s="1"/>
  <c r="O243" i="5"/>
  <c r="N243" i="5"/>
  <c r="T243" i="5"/>
  <c r="S243" i="5"/>
  <c r="P243" i="5"/>
  <c r="R152" i="6"/>
  <c r="I152" i="6"/>
  <c r="Y152" i="6" s="1"/>
  <c r="S152" i="6"/>
  <c r="P152" i="6"/>
  <c r="N152" i="6"/>
  <c r="AD152" i="6" s="1"/>
  <c r="T152" i="6"/>
  <c r="J189" i="6"/>
  <c r="J231" i="6" s="1"/>
  <c r="J273" i="6" s="1"/>
  <c r="J315" i="6" s="1"/>
  <c r="R114" i="4"/>
  <c r="I114" i="4"/>
  <c r="S114" i="4"/>
  <c r="N114" i="4"/>
  <c r="AD114" i="4" s="1"/>
  <c r="P114" i="4"/>
  <c r="T114" i="4"/>
  <c r="R223" i="5"/>
  <c r="I223" i="5"/>
  <c r="Y223" i="5" s="1"/>
  <c r="O223" i="5"/>
  <c r="T223" i="5"/>
  <c r="N223" i="5"/>
  <c r="S223" i="5"/>
  <c r="P223" i="5"/>
  <c r="R248" i="5"/>
  <c r="I248" i="5"/>
  <c r="Y248" i="5" s="1"/>
  <c r="T248" i="5"/>
  <c r="N248" i="5"/>
  <c r="P248" i="5"/>
  <c r="O248" i="5"/>
  <c r="S248" i="5"/>
  <c r="R159" i="6"/>
  <c r="I159" i="6"/>
  <c r="Y159" i="6" s="1"/>
  <c r="N159" i="6"/>
  <c r="AD159" i="6" s="1"/>
  <c r="T159" i="6"/>
  <c r="S159" i="6"/>
  <c r="P159" i="6"/>
  <c r="R146" i="6"/>
  <c r="I146" i="6"/>
  <c r="Y146" i="6" s="1"/>
  <c r="T146" i="6"/>
  <c r="S146" i="6"/>
  <c r="P146" i="6"/>
  <c r="N146" i="6"/>
  <c r="AD146" i="6" s="1"/>
  <c r="R200" i="6"/>
  <c r="I200" i="6"/>
  <c r="Y200" i="6" s="1"/>
  <c r="P200" i="6"/>
  <c r="N200" i="6"/>
  <c r="AD200" i="6" s="1"/>
  <c r="T200" i="6"/>
  <c r="S200" i="6"/>
  <c r="R225" i="5"/>
  <c r="I225" i="5"/>
  <c r="Y225" i="5" s="1"/>
  <c r="S225" i="5"/>
  <c r="N225" i="5"/>
  <c r="T225" i="5"/>
  <c r="P225" i="5"/>
  <c r="O225" i="5"/>
  <c r="R165" i="6"/>
  <c r="I165" i="6"/>
  <c r="Y165" i="6" s="1"/>
  <c r="S165" i="6"/>
  <c r="P165" i="6"/>
  <c r="N165" i="6"/>
  <c r="AD165" i="6" s="1"/>
  <c r="T165" i="6"/>
  <c r="AC61" i="6"/>
  <c r="AC95" i="5"/>
  <c r="AD205" i="5"/>
  <c r="AD181" i="5"/>
  <c r="AD173" i="5"/>
  <c r="R240" i="5"/>
  <c r="I240" i="5"/>
  <c r="Y240" i="5" s="1"/>
  <c r="T240" i="5"/>
  <c r="N240" i="5"/>
  <c r="S240" i="5"/>
  <c r="P240" i="5"/>
  <c r="O240" i="5"/>
  <c r="AD165" i="5"/>
  <c r="AD190" i="5"/>
  <c r="AD158" i="5"/>
  <c r="AD200" i="5"/>
  <c r="R266" i="5"/>
  <c r="I266" i="5"/>
  <c r="Y266" i="5" s="1"/>
  <c r="T266" i="5"/>
  <c r="N266" i="5"/>
  <c r="P266" i="5"/>
  <c r="S266" i="5"/>
  <c r="O266" i="5"/>
  <c r="AC136" i="5"/>
  <c r="AC91" i="5"/>
  <c r="AD199" i="5"/>
  <c r="AD175" i="5"/>
  <c r="AD195" i="5"/>
  <c r="AD187" i="5"/>
  <c r="AD179" i="5"/>
  <c r="AC80" i="6"/>
  <c r="AD159" i="5"/>
  <c r="AC97" i="5"/>
  <c r="AC129" i="5"/>
  <c r="AC87" i="5"/>
  <c r="R268" i="5"/>
  <c r="I268" i="5"/>
  <c r="Y268" i="5" s="1"/>
  <c r="P268" i="5"/>
  <c r="T268" i="5"/>
  <c r="N268" i="5"/>
  <c r="S268" i="5"/>
  <c r="O268" i="5"/>
  <c r="AD161" i="5"/>
  <c r="R228" i="5"/>
  <c r="I228" i="5"/>
  <c r="Y228" i="5" s="1"/>
  <c r="T228" i="5"/>
  <c r="N228" i="5"/>
  <c r="O228" i="5"/>
  <c r="S228" i="5"/>
  <c r="P228" i="5"/>
  <c r="R158" i="6"/>
  <c r="I158" i="6"/>
  <c r="Y158" i="6" s="1"/>
  <c r="P158" i="6"/>
  <c r="N158" i="6"/>
  <c r="AD158" i="6" s="1"/>
  <c r="T158" i="6"/>
  <c r="S158" i="6"/>
  <c r="AD160" i="5"/>
  <c r="AD167" i="5"/>
  <c r="AC79" i="6"/>
  <c r="AC63" i="6"/>
  <c r="AC128" i="5"/>
  <c r="AC96" i="5"/>
  <c r="AC131" i="5"/>
  <c r="AC86" i="6"/>
  <c r="AC126" i="5"/>
  <c r="AC94" i="5"/>
  <c r="AC74" i="6"/>
  <c r="AC138" i="5"/>
  <c r="AC106" i="5"/>
  <c r="AC83" i="6"/>
  <c r="AC132" i="5"/>
  <c r="AC116" i="5"/>
  <c r="AC100" i="5"/>
  <c r="AC84" i="6"/>
  <c r="K44" i="3"/>
  <c r="K169" i="3" s="1"/>
  <c r="J71" i="2"/>
  <c r="L27" i="7" s="1"/>
  <c r="AC63" i="4"/>
  <c r="H69" i="14"/>
  <c r="H36" i="10"/>
  <c r="AC164" i="5"/>
  <c r="R59" i="6"/>
  <c r="R287" i="5"/>
  <c r="I287" i="5"/>
  <c r="Y287" i="5" s="1"/>
  <c r="N287" i="5"/>
  <c r="R38" i="4"/>
  <c r="J106" i="4"/>
  <c r="J128" i="4" s="1"/>
  <c r="J150" i="4" s="1"/>
  <c r="J172" i="4" s="1"/>
  <c r="I84" i="4"/>
  <c r="N84" i="4"/>
  <c r="AD84" i="4" s="1"/>
  <c r="P84" i="4"/>
  <c r="P103" i="6"/>
  <c r="R103" i="6" s="1"/>
  <c r="AC60" i="6"/>
  <c r="AA102" i="6"/>
  <c r="I144" i="6"/>
  <c r="N144" i="6"/>
  <c r="AD144" i="6" s="1"/>
  <c r="P89" i="6"/>
  <c r="AC59" i="6"/>
  <c r="S59" i="6" s="1"/>
  <c r="P102" i="6"/>
  <c r="I219" i="5"/>
  <c r="Y219" i="5" s="1"/>
  <c r="AA84" i="5"/>
  <c r="AB84" i="5"/>
  <c r="I83" i="4"/>
  <c r="N83" i="4"/>
  <c r="AD83" i="4" s="1"/>
  <c r="AC38" i="4"/>
  <c r="S38" i="4" s="1"/>
  <c r="P61" i="4"/>
  <c r="AA107" i="6"/>
  <c r="AB107" i="6"/>
  <c r="AB122" i="6"/>
  <c r="AA122" i="6"/>
  <c r="AB131" i="6"/>
  <c r="AA131" i="6"/>
  <c r="AA149" i="6"/>
  <c r="AB149" i="6"/>
  <c r="AB111" i="6"/>
  <c r="AA111" i="6"/>
  <c r="S103" i="6"/>
  <c r="T103" i="6" s="1"/>
  <c r="AB105" i="6"/>
  <c r="AA105" i="6"/>
  <c r="AA108" i="6"/>
  <c r="AB108" i="6"/>
  <c r="AA115" i="6"/>
  <c r="AB115" i="6"/>
  <c r="AB129" i="6"/>
  <c r="AA129" i="6"/>
  <c r="AB125" i="6"/>
  <c r="AA125" i="6"/>
  <c r="AB123" i="6"/>
  <c r="AA123" i="6"/>
  <c r="AB126" i="6"/>
  <c r="AA126" i="6"/>
  <c r="AB110" i="6"/>
  <c r="AA110" i="6"/>
  <c r="N145" i="6"/>
  <c r="AD145" i="6" s="1"/>
  <c r="T60" i="6"/>
  <c r="S60" i="6"/>
  <c r="AB173" i="5"/>
  <c r="AA173" i="5"/>
  <c r="AA170" i="5"/>
  <c r="AB170" i="5"/>
  <c r="AA162" i="5"/>
  <c r="AB162" i="5"/>
  <c r="AA202" i="5"/>
  <c r="AB202" i="5"/>
  <c r="AB182" i="5"/>
  <c r="AA182" i="5"/>
  <c r="AB177" i="5"/>
  <c r="AA177" i="5"/>
  <c r="AA187" i="5"/>
  <c r="AB187" i="5"/>
  <c r="AB206" i="5"/>
  <c r="AA206" i="5"/>
  <c r="AA166" i="5"/>
  <c r="AB166" i="5"/>
  <c r="AB201" i="5"/>
  <c r="AA201" i="5"/>
  <c r="AB185" i="5"/>
  <c r="AA185" i="5"/>
  <c r="AA189" i="5"/>
  <c r="AB189" i="5"/>
  <c r="AB193" i="5"/>
  <c r="AA193" i="5"/>
  <c r="AA154" i="5"/>
  <c r="AB154" i="5"/>
  <c r="AA190" i="5"/>
  <c r="AB190" i="5"/>
  <c r="AA194" i="5"/>
  <c r="AB194" i="5"/>
  <c r="AB186" i="5"/>
  <c r="AA186" i="5"/>
  <c r="AA183" i="5"/>
  <c r="AB183" i="5"/>
  <c r="AA199" i="5"/>
  <c r="AB199" i="5"/>
  <c r="AB205" i="5"/>
  <c r="AA205" i="5"/>
  <c r="AB174" i="5"/>
  <c r="AA174" i="5"/>
  <c r="AA155" i="5"/>
  <c r="AB155" i="5"/>
  <c r="AA159" i="5"/>
  <c r="AB159" i="5"/>
  <c r="AB169" i="5"/>
  <c r="AA169" i="5"/>
  <c r="AB178" i="5"/>
  <c r="AA178" i="5"/>
  <c r="AA181" i="5"/>
  <c r="AB181" i="5"/>
  <c r="O152" i="5"/>
  <c r="O153" i="5"/>
  <c r="AB85" i="5"/>
  <c r="AA85" i="5"/>
  <c r="AD85" i="5"/>
  <c r="P85" i="5"/>
  <c r="AB89" i="4"/>
  <c r="AA67" i="4"/>
  <c r="AB67" i="4"/>
  <c r="AC66" i="4"/>
  <c r="AA88" i="4"/>
  <c r="AB88" i="4"/>
  <c r="AB64" i="4"/>
  <c r="AA64" i="4"/>
  <c r="AB68" i="4"/>
  <c r="AA68" i="4"/>
  <c r="AA86" i="4"/>
  <c r="AC70" i="4"/>
  <c r="AB62" i="4"/>
  <c r="AA62" i="4"/>
  <c r="AC39" i="4"/>
  <c r="S39" i="4" s="1"/>
  <c r="T39" i="4"/>
  <c r="AI229" i="5"/>
  <c r="AJ229" i="5" s="1"/>
  <c r="AM238" i="5"/>
  <c r="AG222" i="5"/>
  <c r="AH222" i="5" s="1"/>
  <c r="AK224" i="5"/>
  <c r="AL224" i="5" s="1"/>
  <c r="AM224" i="5" s="1"/>
  <c r="E205" i="6"/>
  <c r="E247" i="6" s="1"/>
  <c r="E289" i="6" s="1"/>
  <c r="E331" i="6" s="1"/>
  <c r="AM272" i="5"/>
  <c r="E332" i="5"/>
  <c r="E399" i="5" s="1"/>
  <c r="E466" i="5" s="1"/>
  <c r="AK266" i="5"/>
  <c r="AL266" i="5" s="1"/>
  <c r="AM266" i="5" s="1"/>
  <c r="AK229" i="5"/>
  <c r="AL229" i="5" s="1"/>
  <c r="AM229" i="5" s="1"/>
  <c r="E107" i="4"/>
  <c r="E129" i="4" s="1"/>
  <c r="E151" i="4" s="1"/>
  <c r="E173" i="4" s="1"/>
  <c r="G289" i="5"/>
  <c r="G356" i="5" s="1"/>
  <c r="G423" i="5" s="1"/>
  <c r="AK230" i="5"/>
  <c r="AL230" i="5" s="1"/>
  <c r="AM230" i="5" s="1"/>
  <c r="E297" i="5"/>
  <c r="E364" i="5" s="1"/>
  <c r="E431" i="5" s="1"/>
  <c r="AI237" i="5"/>
  <c r="AJ237" i="5" s="1"/>
  <c r="AI224" i="5"/>
  <c r="AJ224" i="5" s="1"/>
  <c r="AM234" i="5"/>
  <c r="AM247" i="5"/>
  <c r="J308" i="5"/>
  <c r="J375" i="5" s="1"/>
  <c r="J442" i="5" s="1"/>
  <c r="G297" i="5"/>
  <c r="G364" i="5" s="1"/>
  <c r="G431" i="5" s="1"/>
  <c r="AK295" i="5"/>
  <c r="AL295" i="5" s="1"/>
  <c r="AM295" i="5" s="1"/>
  <c r="G333" i="5"/>
  <c r="AM273" i="5"/>
  <c r="J207" i="6"/>
  <c r="J249" i="6" s="1"/>
  <c r="J291" i="6" s="1"/>
  <c r="J333" i="6" s="1"/>
  <c r="G336" i="5"/>
  <c r="AK237" i="5"/>
  <c r="AL237" i="5" s="1"/>
  <c r="AM237" i="5" s="1"/>
  <c r="AI269" i="5"/>
  <c r="AJ269" i="5" s="1"/>
  <c r="AM244" i="5"/>
  <c r="AM223" i="5"/>
  <c r="AM236" i="5"/>
  <c r="J340" i="5"/>
  <c r="J407" i="5" s="1"/>
  <c r="J474" i="5" s="1"/>
  <c r="AM221" i="5"/>
  <c r="J313" i="5"/>
  <c r="J380" i="5" s="1"/>
  <c r="J447" i="5" s="1"/>
  <c r="E329" i="5"/>
  <c r="E396" i="5" s="1"/>
  <c r="E463" i="5" s="1"/>
  <c r="N207" i="5"/>
  <c r="N132" i="6"/>
  <c r="N71" i="4"/>
  <c r="R26" i="4"/>
  <c r="AM248" i="5"/>
  <c r="AM222" i="5"/>
  <c r="AM269" i="5"/>
  <c r="H105" i="4"/>
  <c r="AF105" i="4" s="1"/>
  <c r="AM270" i="5"/>
  <c r="J321" i="5"/>
  <c r="J388" i="5" s="1"/>
  <c r="J455" i="5" s="1"/>
  <c r="E198" i="6"/>
  <c r="E240" i="6" s="1"/>
  <c r="E282" i="6" s="1"/>
  <c r="E324" i="6" s="1"/>
  <c r="J324" i="5"/>
  <c r="J391" i="5" s="1"/>
  <c r="J458" i="5" s="1"/>
  <c r="E301" i="5"/>
  <c r="E368" i="5" s="1"/>
  <c r="E435" i="5" s="1"/>
  <c r="J199" i="6"/>
  <c r="J241" i="6" s="1"/>
  <c r="J283" i="6" s="1"/>
  <c r="J325" i="6" s="1"/>
  <c r="J314" i="5"/>
  <c r="J381" i="5" s="1"/>
  <c r="J448" i="5" s="1"/>
  <c r="J311" i="5"/>
  <c r="J378" i="5" s="1"/>
  <c r="J445" i="5" s="1"/>
  <c r="E197" i="6"/>
  <c r="E239" i="6" s="1"/>
  <c r="E281" i="6" s="1"/>
  <c r="E323" i="6" s="1"/>
  <c r="J338" i="5"/>
  <c r="J405" i="5" s="1"/>
  <c r="J472" i="5" s="1"/>
  <c r="J301" i="5"/>
  <c r="J368" i="5" s="1"/>
  <c r="J435" i="5" s="1"/>
  <c r="J187" i="6"/>
  <c r="E192" i="6"/>
  <c r="E234" i="6" s="1"/>
  <c r="E276" i="6" s="1"/>
  <c r="E318" i="6" s="1"/>
  <c r="E108" i="4"/>
  <c r="E130" i="4" s="1"/>
  <c r="E152" i="4" s="1"/>
  <c r="E174" i="4" s="1"/>
  <c r="J315" i="5"/>
  <c r="J382" i="5" s="1"/>
  <c r="J449" i="5" s="1"/>
  <c r="J208" i="6"/>
  <c r="J250" i="6" s="1"/>
  <c r="J292" i="6" s="1"/>
  <c r="J334" i="6" s="1"/>
  <c r="J204" i="6"/>
  <c r="J246" i="6" s="1"/>
  <c r="J288" i="6" s="1"/>
  <c r="J330" i="6" s="1"/>
  <c r="S71" i="5"/>
  <c r="E195" i="6"/>
  <c r="E237" i="6" s="1"/>
  <c r="E279" i="6" s="1"/>
  <c r="E321" i="6" s="1"/>
  <c r="J93" i="4"/>
  <c r="H56" i="14" s="1"/>
  <c r="H42" i="14" s="1"/>
  <c r="J105" i="4"/>
  <c r="J127" i="4" s="1"/>
  <c r="J149" i="4" s="1"/>
  <c r="J171" i="4" s="1"/>
  <c r="H193" i="6"/>
  <c r="J305" i="5"/>
  <c r="J372" i="5" s="1"/>
  <c r="J439" i="5" s="1"/>
  <c r="E201" i="6"/>
  <c r="E243" i="6" s="1"/>
  <c r="E285" i="6" s="1"/>
  <c r="E327" i="6" s="1"/>
  <c r="J286" i="5"/>
  <c r="J298" i="5"/>
  <c r="J365" i="5" s="1"/>
  <c r="J432" i="5" s="1"/>
  <c r="J303" i="5"/>
  <c r="J370" i="5" s="1"/>
  <c r="J437" i="5" s="1"/>
  <c r="E203" i="6"/>
  <c r="E245" i="6" s="1"/>
  <c r="E287" i="6" s="1"/>
  <c r="E329" i="6" s="1"/>
  <c r="J310" i="5"/>
  <c r="J377" i="5" s="1"/>
  <c r="J444" i="5" s="1"/>
  <c r="E190" i="6"/>
  <c r="E232" i="6" s="1"/>
  <c r="E274" i="6" s="1"/>
  <c r="E316" i="6" s="1"/>
  <c r="E193" i="6"/>
  <c r="E235" i="6" s="1"/>
  <c r="E277" i="6" s="1"/>
  <c r="E319" i="6" s="1"/>
  <c r="J300" i="5"/>
  <c r="J367" i="5" s="1"/>
  <c r="J434" i="5" s="1"/>
  <c r="E199" i="6"/>
  <c r="E241" i="6" s="1"/>
  <c r="E283" i="6" s="1"/>
  <c r="E325" i="6" s="1"/>
  <c r="J290" i="5"/>
  <c r="J357" i="5" s="1"/>
  <c r="J424" i="5" s="1"/>
  <c r="J299" i="5"/>
  <c r="J366" i="5" s="1"/>
  <c r="J433" i="5" s="1"/>
  <c r="E305" i="5"/>
  <c r="E372" i="5" s="1"/>
  <c r="E439" i="5" s="1"/>
  <c r="J107" i="4"/>
  <c r="J129" i="4" s="1"/>
  <c r="J151" i="4" s="1"/>
  <c r="J173" i="4" s="1"/>
  <c r="J297" i="5"/>
  <c r="J364" i="5" s="1"/>
  <c r="J431" i="5" s="1"/>
  <c r="T26" i="4"/>
  <c r="J215" i="6"/>
  <c r="J257" i="6" s="1"/>
  <c r="J299" i="6" s="1"/>
  <c r="J341" i="6" s="1"/>
  <c r="J336" i="5"/>
  <c r="J403" i="5" s="1"/>
  <c r="J470" i="5" s="1"/>
  <c r="J194" i="6"/>
  <c r="J236" i="6" s="1"/>
  <c r="J278" i="6" s="1"/>
  <c r="J320" i="6" s="1"/>
  <c r="E105" i="4"/>
  <c r="E127" i="4" s="1"/>
  <c r="E149" i="4" s="1"/>
  <c r="E171" i="4" s="1"/>
  <c r="E309" i="5"/>
  <c r="E376" i="5" s="1"/>
  <c r="E443" i="5" s="1"/>
  <c r="J291" i="5"/>
  <c r="J358" i="5" s="1"/>
  <c r="J425" i="5" s="1"/>
  <c r="J186" i="6"/>
  <c r="J228" i="6" s="1"/>
  <c r="J270" i="6" s="1"/>
  <c r="J312" i="6" s="1"/>
  <c r="J192" i="6"/>
  <c r="J234" i="6" s="1"/>
  <c r="J276" i="6" s="1"/>
  <c r="J318" i="6" s="1"/>
  <c r="J188" i="6"/>
  <c r="J230" i="6" s="1"/>
  <c r="J272" i="6" s="1"/>
  <c r="J314" i="6" s="1"/>
  <c r="AM219" i="5"/>
  <c r="J306" i="5"/>
  <c r="J373" i="5" s="1"/>
  <c r="J440" i="5" s="1"/>
  <c r="J337" i="5"/>
  <c r="J404" i="5" s="1"/>
  <c r="J471" i="5" s="1"/>
  <c r="J289" i="5"/>
  <c r="J356" i="5" s="1"/>
  <c r="J423" i="5" s="1"/>
  <c r="E317" i="5"/>
  <c r="E384" i="5" s="1"/>
  <c r="E451" i="5" s="1"/>
  <c r="J330" i="5"/>
  <c r="J397" i="5" s="1"/>
  <c r="J464" i="5" s="1"/>
  <c r="J319" i="5"/>
  <c r="J386" i="5" s="1"/>
  <c r="J453" i="5" s="1"/>
  <c r="J304" i="5"/>
  <c r="J371" i="5" s="1"/>
  <c r="J438" i="5" s="1"/>
  <c r="J309" i="5"/>
  <c r="J376" i="5" s="1"/>
  <c r="J443" i="5" s="1"/>
  <c r="O139" i="5"/>
  <c r="J339" i="5"/>
  <c r="J406" i="5" s="1"/>
  <c r="J473" i="5" s="1"/>
  <c r="E299" i="5"/>
  <c r="E366" i="5" s="1"/>
  <c r="E433" i="5" s="1"/>
  <c r="J213" i="6"/>
  <c r="J255" i="6" s="1"/>
  <c r="J297" i="6" s="1"/>
  <c r="J339" i="6" s="1"/>
  <c r="J209" i="6"/>
  <c r="J251" i="6" s="1"/>
  <c r="J293" i="6" s="1"/>
  <c r="J335" i="6" s="1"/>
  <c r="J205" i="6"/>
  <c r="J247" i="6" s="1"/>
  <c r="J289" i="6" s="1"/>
  <c r="J331" i="6" s="1"/>
  <c r="J201" i="6"/>
  <c r="J243" i="6" s="1"/>
  <c r="J285" i="6" s="1"/>
  <c r="J327" i="6" s="1"/>
  <c r="J197" i="6"/>
  <c r="J239" i="6" s="1"/>
  <c r="J281" i="6" s="1"/>
  <c r="J323" i="6" s="1"/>
  <c r="J193" i="6"/>
  <c r="J235" i="6" s="1"/>
  <c r="J277" i="6" s="1"/>
  <c r="J319" i="6" s="1"/>
  <c r="J296" i="5"/>
  <c r="J363" i="5" s="1"/>
  <c r="J430" i="5" s="1"/>
  <c r="R71" i="5"/>
  <c r="E211" i="6"/>
  <c r="E253" i="6" s="1"/>
  <c r="E295" i="6" s="1"/>
  <c r="E337" i="6" s="1"/>
  <c r="H192" i="6"/>
  <c r="J190" i="6"/>
  <c r="J232" i="6" s="1"/>
  <c r="J274" i="6" s="1"/>
  <c r="J316" i="6" s="1"/>
  <c r="AG147" i="6"/>
  <c r="AH147" i="6" s="1"/>
  <c r="F194" i="6"/>
  <c r="AG151" i="6"/>
  <c r="AH151" i="6" s="1"/>
  <c r="H215" i="6"/>
  <c r="E194" i="6"/>
  <c r="E236" i="6" s="1"/>
  <c r="E278" i="6" s="1"/>
  <c r="E320" i="6" s="1"/>
  <c r="F207" i="6"/>
  <c r="AG165" i="6"/>
  <c r="AH165" i="6" s="1"/>
  <c r="H208" i="6"/>
  <c r="E210" i="6"/>
  <c r="E252" i="6" s="1"/>
  <c r="E294" i="6" s="1"/>
  <c r="E336" i="6" s="1"/>
  <c r="G337" i="5"/>
  <c r="H308" i="5"/>
  <c r="H310" i="5"/>
  <c r="H331" i="5"/>
  <c r="G303" i="5"/>
  <c r="H315" i="5"/>
  <c r="H333" i="5"/>
  <c r="E328" i="5"/>
  <c r="E395" i="5" s="1"/>
  <c r="E462" i="5" s="1"/>
  <c r="G318" i="5"/>
  <c r="H324" i="5"/>
  <c r="AI233" i="5"/>
  <c r="AJ233" i="5" s="1"/>
  <c r="AK233" i="5"/>
  <c r="AL233" i="5" s="1"/>
  <c r="AM233" i="5" s="1"/>
  <c r="H326" i="5"/>
  <c r="AI290" i="5"/>
  <c r="AJ290" i="5" s="1"/>
  <c r="F303" i="5"/>
  <c r="AK287" i="5"/>
  <c r="AL287" i="5" s="1"/>
  <c r="AM287" i="5" s="1"/>
  <c r="AI236" i="5"/>
  <c r="AJ236" i="5" s="1"/>
  <c r="G299" i="5"/>
  <c r="E308" i="5"/>
  <c r="E375" i="5" s="1"/>
  <c r="E442" i="5" s="1"/>
  <c r="H332" i="5"/>
  <c r="J322" i="5"/>
  <c r="J389" i="5" s="1"/>
  <c r="J456" i="5" s="1"/>
  <c r="AI251" i="5"/>
  <c r="AJ251" i="5" s="1"/>
  <c r="AK232" i="5"/>
  <c r="AL232" i="5" s="1"/>
  <c r="AM232" i="5" s="1"/>
  <c r="F331" i="5"/>
  <c r="AM255" i="5"/>
  <c r="AI222" i="5"/>
  <c r="AJ222" i="5" s="1"/>
  <c r="H299" i="5"/>
  <c r="G323" i="5"/>
  <c r="G390" i="5" s="1"/>
  <c r="G457" i="5" s="1"/>
  <c r="AK256" i="5"/>
  <c r="AL256" i="5" s="1"/>
  <c r="AM256" i="5" s="1"/>
  <c r="AI256" i="5"/>
  <c r="AJ256" i="5" s="1"/>
  <c r="AK322" i="5"/>
  <c r="AL322" i="5" s="1"/>
  <c r="E288" i="5"/>
  <c r="E355" i="5" s="1"/>
  <c r="E422" i="5" s="1"/>
  <c r="AK240" i="5"/>
  <c r="AL240" i="5" s="1"/>
  <c r="AM240" i="5" s="1"/>
  <c r="G307" i="5"/>
  <c r="G374" i="5" s="1"/>
  <c r="G441" i="5" s="1"/>
  <c r="AI240" i="5"/>
  <c r="AJ240" i="5" s="1"/>
  <c r="F293" i="5"/>
  <c r="AG226" i="5"/>
  <c r="AH226" i="5" s="1"/>
  <c r="AK260" i="5"/>
  <c r="AL260" i="5" s="1"/>
  <c r="AM260" i="5" s="1"/>
  <c r="G327" i="5"/>
  <c r="G394" i="5" s="1"/>
  <c r="G461" i="5" s="1"/>
  <c r="AI260" i="5"/>
  <c r="AJ260" i="5" s="1"/>
  <c r="AK254" i="5"/>
  <c r="AL254" i="5" s="1"/>
  <c r="AM254" i="5" s="1"/>
  <c r="G321" i="5"/>
  <c r="G388" i="5" s="1"/>
  <c r="G455" i="5" s="1"/>
  <c r="AI254" i="5"/>
  <c r="AJ254" i="5" s="1"/>
  <c r="E336" i="5"/>
  <c r="E403" i="5" s="1"/>
  <c r="E470" i="5" s="1"/>
  <c r="G319" i="5"/>
  <c r="G386" i="5" s="1"/>
  <c r="G453" i="5" s="1"/>
  <c r="AI252" i="5"/>
  <c r="AJ252" i="5" s="1"/>
  <c r="AK252" i="5"/>
  <c r="AL252" i="5" s="1"/>
  <c r="AM252" i="5" s="1"/>
  <c r="AK227" i="5"/>
  <c r="AL227" i="5" s="1"/>
  <c r="AM227" i="5" s="1"/>
  <c r="AI270" i="5"/>
  <c r="AJ270" i="5" s="1"/>
  <c r="H313" i="5"/>
  <c r="E304" i="5"/>
  <c r="E371" i="5" s="1"/>
  <c r="E438" i="5" s="1"/>
  <c r="F322" i="5"/>
  <c r="AG255" i="5"/>
  <c r="AH255" i="5" s="1"/>
  <c r="G331" i="5"/>
  <c r="G398" i="5" s="1"/>
  <c r="G465" i="5" s="1"/>
  <c r="AK264" i="5"/>
  <c r="AL264" i="5" s="1"/>
  <c r="AM264" i="5" s="1"/>
  <c r="AI264" i="5"/>
  <c r="AJ264" i="5" s="1"/>
  <c r="G317" i="5"/>
  <c r="G384" i="5" s="1"/>
  <c r="G451" i="5" s="1"/>
  <c r="AK250" i="5"/>
  <c r="AL250" i="5" s="1"/>
  <c r="AM250" i="5" s="1"/>
  <c r="AI250" i="5"/>
  <c r="AJ250" i="5" s="1"/>
  <c r="E324" i="5"/>
  <c r="E391" i="5" s="1"/>
  <c r="E458" i="5" s="1"/>
  <c r="H325" i="5"/>
  <c r="G313" i="5"/>
  <c r="G380" i="5" s="1"/>
  <c r="G447" i="5" s="1"/>
  <c r="AI246" i="5"/>
  <c r="AJ246" i="5" s="1"/>
  <c r="AK246" i="5"/>
  <c r="AL246" i="5" s="1"/>
  <c r="AM246" i="5" s="1"/>
  <c r="E340" i="5"/>
  <c r="E407" i="5" s="1"/>
  <c r="E474" i="5" s="1"/>
  <c r="G309" i="5"/>
  <c r="G376" i="5" s="1"/>
  <c r="G443" i="5" s="1"/>
  <c r="AK242" i="5"/>
  <c r="AL242" i="5" s="1"/>
  <c r="AM242" i="5" s="1"/>
  <c r="AI242" i="5"/>
  <c r="AJ242" i="5" s="1"/>
  <c r="H305" i="5"/>
  <c r="E312" i="5"/>
  <c r="E379" i="5" s="1"/>
  <c r="E446" i="5" s="1"/>
  <c r="E296" i="5"/>
  <c r="E363" i="5" s="1"/>
  <c r="E430" i="5" s="1"/>
  <c r="G335" i="5"/>
  <c r="G402" i="5" s="1"/>
  <c r="G469" i="5" s="1"/>
  <c r="AK268" i="5"/>
  <c r="AL268" i="5" s="1"/>
  <c r="AM268" i="5" s="1"/>
  <c r="AI268" i="5"/>
  <c r="AJ268" i="5" s="1"/>
  <c r="AI226" i="5"/>
  <c r="AJ226" i="5" s="1"/>
  <c r="AK226" i="5"/>
  <c r="AL226" i="5" s="1"/>
  <c r="AM226" i="5" s="1"/>
  <c r="G293" i="5"/>
  <c r="G360" i="5" s="1"/>
  <c r="G427" i="5" s="1"/>
  <c r="E320" i="5"/>
  <c r="E387" i="5" s="1"/>
  <c r="E454" i="5" s="1"/>
  <c r="AI262" i="5"/>
  <c r="AJ262" i="5" s="1"/>
  <c r="AK262" i="5"/>
  <c r="AL262" i="5" s="1"/>
  <c r="AM262" i="5" s="1"/>
  <c r="G329" i="5"/>
  <c r="G396" i="5" s="1"/>
  <c r="G463" i="5" s="1"/>
  <c r="AK258" i="5"/>
  <c r="AL258" i="5" s="1"/>
  <c r="AM258" i="5" s="1"/>
  <c r="G325" i="5"/>
  <c r="G392" i="5" s="1"/>
  <c r="G459" i="5" s="1"/>
  <c r="AI258" i="5"/>
  <c r="AJ258" i="5" s="1"/>
  <c r="F114" i="4"/>
  <c r="E112" i="4"/>
  <c r="E134" i="4" s="1"/>
  <c r="E156" i="4" s="1"/>
  <c r="E178" i="4" s="1"/>
  <c r="H106" i="4"/>
  <c r="F105" i="4"/>
  <c r="F108" i="4"/>
  <c r="F106" i="4"/>
  <c r="J111" i="4"/>
  <c r="J133" i="4" s="1"/>
  <c r="J155" i="4" s="1"/>
  <c r="J177" i="4" s="1"/>
  <c r="F110" i="4"/>
  <c r="H209" i="6"/>
  <c r="H214" i="6"/>
  <c r="AI227" i="5"/>
  <c r="AJ227" i="5" s="1"/>
  <c r="H316" i="5"/>
  <c r="J274" i="5"/>
  <c r="I57" i="14" s="1"/>
  <c r="AM235" i="5"/>
  <c r="H15" i="11"/>
  <c r="G23" i="16" s="1"/>
  <c r="H32" i="7"/>
  <c r="H46" i="7"/>
  <c r="H55" i="7" s="1"/>
  <c r="I152" i="3"/>
  <c r="J152" i="3" s="1"/>
  <c r="K152" i="3" s="1"/>
  <c r="L152" i="3" s="1"/>
  <c r="M152" i="3" s="1"/>
  <c r="N152" i="3" s="1"/>
  <c r="F69" i="14"/>
  <c r="I69" i="14"/>
  <c r="G69" i="14"/>
  <c r="F208" i="6"/>
  <c r="AG166" i="6"/>
  <c r="AH166" i="6" s="1"/>
  <c r="F112" i="4"/>
  <c r="AG170" i="6"/>
  <c r="AH170" i="6" s="1"/>
  <c r="F212" i="6"/>
  <c r="AM251" i="5"/>
  <c r="F299" i="5"/>
  <c r="AG232" i="5"/>
  <c r="AH232" i="5" s="1"/>
  <c r="G324" i="5"/>
  <c r="G391" i="5" s="1"/>
  <c r="G458" i="5" s="1"/>
  <c r="AK257" i="5"/>
  <c r="AL257" i="5" s="1"/>
  <c r="AM257" i="5" s="1"/>
  <c r="AI257" i="5"/>
  <c r="AJ257" i="5" s="1"/>
  <c r="AK239" i="5"/>
  <c r="AL239" i="5" s="1"/>
  <c r="AM239" i="5" s="1"/>
  <c r="AI239" i="5"/>
  <c r="AJ239" i="5" s="1"/>
  <c r="G306" i="5"/>
  <c r="G373" i="5" s="1"/>
  <c r="G440" i="5" s="1"/>
  <c r="H300" i="5"/>
  <c r="H320" i="5"/>
  <c r="H204" i="6"/>
  <c r="AG162" i="6"/>
  <c r="AH162" i="6" s="1"/>
  <c r="F204" i="6"/>
  <c r="AG228" i="5"/>
  <c r="AH228" i="5" s="1"/>
  <c r="F295" i="5"/>
  <c r="AK249" i="5"/>
  <c r="AL249" i="5" s="1"/>
  <c r="AM249" i="5" s="1"/>
  <c r="G316" i="5"/>
  <c r="G383" i="5" s="1"/>
  <c r="G450" i="5" s="1"/>
  <c r="AI249" i="5"/>
  <c r="AJ249" i="5" s="1"/>
  <c r="H212" i="6"/>
  <c r="F315" i="5"/>
  <c r="AG248" i="5"/>
  <c r="AH248" i="5" s="1"/>
  <c r="AG220" i="5"/>
  <c r="AH220" i="5" s="1"/>
  <c r="F287" i="5"/>
  <c r="AI245" i="5"/>
  <c r="AJ245" i="5" s="1"/>
  <c r="AK245" i="5"/>
  <c r="AL245" i="5" s="1"/>
  <c r="AM245" i="5" s="1"/>
  <c r="G312" i="5"/>
  <c r="G379" i="5" s="1"/>
  <c r="G446" i="5" s="1"/>
  <c r="F188" i="6"/>
  <c r="AG146" i="6"/>
  <c r="AH146" i="6" s="1"/>
  <c r="AG244" i="5"/>
  <c r="AH244" i="5" s="1"/>
  <c r="F311" i="5"/>
  <c r="F291" i="5"/>
  <c r="AG224" i="5"/>
  <c r="AH224" i="5" s="1"/>
  <c r="G328" i="5"/>
  <c r="G395" i="5" s="1"/>
  <c r="G462" i="5" s="1"/>
  <c r="AK261" i="5"/>
  <c r="AL261" i="5" s="1"/>
  <c r="AM261" i="5" s="1"/>
  <c r="AI261" i="5"/>
  <c r="AJ261" i="5" s="1"/>
  <c r="G310" i="5"/>
  <c r="G377" i="5" s="1"/>
  <c r="G444" i="5" s="1"/>
  <c r="AI243" i="5"/>
  <c r="AJ243" i="5" s="1"/>
  <c r="AK243" i="5"/>
  <c r="AL243" i="5" s="1"/>
  <c r="AM243" i="5" s="1"/>
  <c r="H108" i="4"/>
  <c r="H336" i="5"/>
  <c r="G338" i="5"/>
  <c r="G405" i="5" s="1"/>
  <c r="G472" i="5" s="1"/>
  <c r="AI271" i="5"/>
  <c r="AJ271" i="5" s="1"/>
  <c r="AK271" i="5"/>
  <c r="AL271" i="5" s="1"/>
  <c r="AM271" i="5" s="1"/>
  <c r="G308" i="5"/>
  <c r="G375" i="5" s="1"/>
  <c r="G442" i="5" s="1"/>
  <c r="AK241" i="5"/>
  <c r="AL241" i="5" s="1"/>
  <c r="AM241" i="5" s="1"/>
  <c r="AI241" i="5"/>
  <c r="AJ241" i="5" s="1"/>
  <c r="AG252" i="5"/>
  <c r="AH252" i="5" s="1"/>
  <c r="F319" i="5"/>
  <c r="AG268" i="5"/>
  <c r="AH268" i="5" s="1"/>
  <c r="F335" i="5"/>
  <c r="AK253" i="5"/>
  <c r="AL253" i="5" s="1"/>
  <c r="AM253" i="5" s="1"/>
  <c r="AI253" i="5"/>
  <c r="AJ253" i="5" s="1"/>
  <c r="G320" i="5"/>
  <c r="G387" i="5" s="1"/>
  <c r="G454" i="5" s="1"/>
  <c r="AG150" i="6"/>
  <c r="AH150" i="6" s="1"/>
  <c r="F192" i="6"/>
  <c r="H292" i="5"/>
  <c r="AK265" i="5"/>
  <c r="AL265" i="5" s="1"/>
  <c r="AM265" i="5" s="1"/>
  <c r="G332" i="5"/>
  <c r="G399" i="5" s="1"/>
  <c r="G466" i="5" s="1"/>
  <c r="AI265" i="5"/>
  <c r="AJ265" i="5" s="1"/>
  <c r="AG256" i="5"/>
  <c r="AH256" i="5" s="1"/>
  <c r="F323" i="5"/>
  <c r="H304" i="5"/>
  <c r="AM267" i="5"/>
  <c r="AK231" i="5"/>
  <c r="AL231" i="5" s="1"/>
  <c r="AM231" i="5" s="1"/>
  <c r="AI231" i="5"/>
  <c r="AJ231" i="5" s="1"/>
  <c r="G298" i="5"/>
  <c r="G365" i="5" s="1"/>
  <c r="G432" i="5" s="1"/>
  <c r="AI225" i="5"/>
  <c r="AJ225" i="5" s="1"/>
  <c r="AK225" i="5"/>
  <c r="AL225" i="5" s="1"/>
  <c r="AM225" i="5" s="1"/>
  <c r="G292" i="5"/>
  <c r="G359" i="5" s="1"/>
  <c r="G426" i="5" s="1"/>
  <c r="H312" i="5"/>
  <c r="H340" i="5"/>
  <c r="H189" i="6"/>
  <c r="AI263" i="5"/>
  <c r="AJ263" i="5" s="1"/>
  <c r="G330" i="5"/>
  <c r="G397" i="5" s="1"/>
  <c r="G464" i="5" s="1"/>
  <c r="AK263" i="5"/>
  <c r="AL263" i="5" s="1"/>
  <c r="AM263" i="5" s="1"/>
  <c r="H328" i="5"/>
  <c r="AG154" i="6"/>
  <c r="AH154" i="6" s="1"/>
  <c r="F196" i="6"/>
  <c r="AI259" i="5"/>
  <c r="AJ259" i="5" s="1"/>
  <c r="AK259" i="5"/>
  <c r="AL259" i="5" s="1"/>
  <c r="AM259" i="5" s="1"/>
  <c r="G326" i="5"/>
  <c r="G393" i="5" s="1"/>
  <c r="G460" i="5" s="1"/>
  <c r="E209" i="6"/>
  <c r="E251" i="6" s="1"/>
  <c r="E293" i="6" s="1"/>
  <c r="E335" i="6" s="1"/>
  <c r="F209" i="6"/>
  <c r="AG167" i="6"/>
  <c r="AH167" i="6" s="1"/>
  <c r="AG265" i="5"/>
  <c r="AH265" i="5" s="1"/>
  <c r="F332" i="5"/>
  <c r="H314" i="5"/>
  <c r="H113" i="4"/>
  <c r="H330" i="5"/>
  <c r="AG241" i="5"/>
  <c r="AH241" i="5" s="1"/>
  <c r="F308" i="5"/>
  <c r="F61" i="16"/>
  <c r="F25" i="10"/>
  <c r="J174" i="6"/>
  <c r="I58" i="14" s="1"/>
  <c r="I44" i="14" s="1"/>
  <c r="E207" i="6"/>
  <c r="E249" i="6" s="1"/>
  <c r="E291" i="6" s="1"/>
  <c r="E333" i="6" s="1"/>
  <c r="AG233" i="5"/>
  <c r="AH233" i="5" s="1"/>
  <c r="F300" i="5"/>
  <c r="F292" i="5"/>
  <c r="AG225" i="5"/>
  <c r="AH225" i="5" s="1"/>
  <c r="H298" i="5"/>
  <c r="AG249" i="5"/>
  <c r="AH249" i="5" s="1"/>
  <c r="F316" i="5"/>
  <c r="F340" i="5"/>
  <c r="AG273" i="5"/>
  <c r="AH273" i="5" s="1"/>
  <c r="H210" i="6"/>
  <c r="E287" i="5"/>
  <c r="E354" i="5" s="1"/>
  <c r="E421" i="5" s="1"/>
  <c r="F113" i="4"/>
  <c r="E215" i="6"/>
  <c r="E257" i="6" s="1"/>
  <c r="E299" i="6" s="1"/>
  <c r="E341" i="6" s="1"/>
  <c r="AK314" i="5"/>
  <c r="AL314" i="5" s="1"/>
  <c r="AI314" i="5"/>
  <c r="AJ314" i="5" s="1"/>
  <c r="F324" i="5"/>
  <c r="AG257" i="5"/>
  <c r="AH257" i="5" s="1"/>
  <c r="H291" i="5"/>
  <c r="H323" i="5"/>
  <c r="H194" i="6"/>
  <c r="H188" i="6"/>
  <c r="H190" i="6"/>
  <c r="H197" i="6"/>
  <c r="H339" i="5"/>
  <c r="H203" i="6"/>
  <c r="H199" i="6"/>
  <c r="H307" i="5"/>
  <c r="J158" i="3"/>
  <c r="F211" i="6"/>
  <c r="AG169" i="6"/>
  <c r="AH169" i="6" s="1"/>
  <c r="F199" i="6"/>
  <c r="AG157" i="6"/>
  <c r="AH157" i="6" s="1"/>
  <c r="AG267" i="5"/>
  <c r="AH267" i="5" s="1"/>
  <c r="F334" i="5"/>
  <c r="AG259" i="5"/>
  <c r="AH259" i="5" s="1"/>
  <c r="F326" i="5"/>
  <c r="AG243" i="5"/>
  <c r="AH243" i="5" s="1"/>
  <c r="F310" i="5"/>
  <c r="I45" i="13"/>
  <c r="F328" i="5"/>
  <c r="AG261" i="5"/>
  <c r="AH261" i="5" s="1"/>
  <c r="F312" i="5"/>
  <c r="AG245" i="5"/>
  <c r="AH245" i="5" s="1"/>
  <c r="F296" i="5"/>
  <c r="AG229" i="5"/>
  <c r="AH229" i="5" s="1"/>
  <c r="AG145" i="6"/>
  <c r="AH145" i="6" s="1"/>
  <c r="F187" i="6"/>
  <c r="F318" i="5"/>
  <c r="AG251" i="5"/>
  <c r="AH251" i="5" s="1"/>
  <c r="F302" i="5"/>
  <c r="AG235" i="5"/>
  <c r="AH235" i="5" s="1"/>
  <c r="AG221" i="5"/>
  <c r="AH221" i="5" s="1"/>
  <c r="F288" i="5"/>
  <c r="AG159" i="6"/>
  <c r="AH159" i="6" s="1"/>
  <c r="F201" i="6"/>
  <c r="AG153" i="6"/>
  <c r="AH153" i="6" s="1"/>
  <c r="F195" i="6"/>
  <c r="AG269" i="5"/>
  <c r="AH269" i="5" s="1"/>
  <c r="F336" i="5"/>
  <c r="AG253" i="5"/>
  <c r="AH253" i="5" s="1"/>
  <c r="F320" i="5"/>
  <c r="AG237" i="5"/>
  <c r="AH237" i="5" s="1"/>
  <c r="F304" i="5"/>
  <c r="F109" i="4"/>
  <c r="I37" i="10"/>
  <c r="K109" i="7" s="1"/>
  <c r="I36" i="10"/>
  <c r="K108" i="7" s="1"/>
  <c r="G37" i="10"/>
  <c r="I109" i="7" s="1"/>
  <c r="G36" i="10"/>
  <c r="I108" i="7" s="1"/>
  <c r="F333" i="5"/>
  <c r="AG266" i="5"/>
  <c r="AH266" i="5" s="1"/>
  <c r="F301" i="5"/>
  <c r="AG234" i="5"/>
  <c r="AH234" i="5" s="1"/>
  <c r="F290" i="5"/>
  <c r="AG223" i="5"/>
  <c r="AH223" i="5" s="1"/>
  <c r="H311" i="5"/>
  <c r="H205" i="6"/>
  <c r="J302" i="5"/>
  <c r="J369" i="5" s="1"/>
  <c r="J436" i="5" s="1"/>
  <c r="E335" i="5"/>
  <c r="E402" i="5" s="1"/>
  <c r="E469" i="5" s="1"/>
  <c r="H295" i="5"/>
  <c r="E323" i="5"/>
  <c r="E390" i="5" s="1"/>
  <c r="E457" i="5" s="1"/>
  <c r="E303" i="5"/>
  <c r="E370" i="5" s="1"/>
  <c r="E437" i="5" s="1"/>
  <c r="F297" i="5"/>
  <c r="AG230" i="5"/>
  <c r="AH230" i="5" s="1"/>
  <c r="AG242" i="5"/>
  <c r="AH242" i="5" s="1"/>
  <c r="F309" i="5"/>
  <c r="F111" i="4"/>
  <c r="J334" i="5"/>
  <c r="J401" i="5" s="1"/>
  <c r="J468" i="5" s="1"/>
  <c r="J318" i="5"/>
  <c r="J385" i="5" s="1"/>
  <c r="J452" i="5" s="1"/>
  <c r="J294" i="5"/>
  <c r="J361" i="5" s="1"/>
  <c r="J428" i="5" s="1"/>
  <c r="AG270" i="5"/>
  <c r="AH270" i="5" s="1"/>
  <c r="F337" i="5"/>
  <c r="AG238" i="5"/>
  <c r="AH238" i="5" s="1"/>
  <c r="F305" i="5"/>
  <c r="F107" i="4"/>
  <c r="J214" i="6"/>
  <c r="J256" i="6" s="1"/>
  <c r="J298" i="6" s="1"/>
  <c r="J340" i="6" s="1"/>
  <c r="F329" i="5"/>
  <c r="AG262" i="5"/>
  <c r="AH262" i="5" s="1"/>
  <c r="J198" i="6"/>
  <c r="J240" i="6" s="1"/>
  <c r="J282" i="6" s="1"/>
  <c r="J324" i="6" s="1"/>
  <c r="E213" i="6"/>
  <c r="E255" i="6" s="1"/>
  <c r="E297" i="6" s="1"/>
  <c r="E339" i="6" s="1"/>
  <c r="AH114" i="6"/>
  <c r="AH132" i="6" s="1"/>
  <c r="AG132" i="6"/>
  <c r="AG172" i="6"/>
  <c r="AH172" i="6" s="1"/>
  <c r="F214" i="6"/>
  <c r="H319" i="5"/>
  <c r="H335" i="5"/>
  <c r="E339" i="5"/>
  <c r="E406" i="5" s="1"/>
  <c r="E473" i="5" s="1"/>
  <c r="AG164" i="6"/>
  <c r="AH164" i="6" s="1"/>
  <c r="F206" i="6"/>
  <c r="F202" i="6"/>
  <c r="AG160" i="6"/>
  <c r="AH160" i="6" s="1"/>
  <c r="AH152" i="5"/>
  <c r="AH207" i="5" s="1"/>
  <c r="AG207" i="5"/>
  <c r="E307" i="5"/>
  <c r="E374" i="5" s="1"/>
  <c r="E441" i="5" s="1"/>
  <c r="F317" i="5"/>
  <c r="AG250" i="5"/>
  <c r="AH250" i="5" s="1"/>
  <c r="AG156" i="6"/>
  <c r="F198" i="6"/>
  <c r="H327" i="5"/>
  <c r="J326" i="5"/>
  <c r="J393" i="5" s="1"/>
  <c r="J460" i="5" s="1"/>
  <c r="AG254" i="5"/>
  <c r="AH254" i="5" s="1"/>
  <c r="F321" i="5"/>
  <c r="AG227" i="5"/>
  <c r="AH227" i="5" s="1"/>
  <c r="F294" i="5"/>
  <c r="E319" i="5"/>
  <c r="E386" i="5" s="1"/>
  <c r="E453" i="5" s="1"/>
  <c r="F325" i="5"/>
  <c r="AG258" i="5"/>
  <c r="AH258" i="5" s="1"/>
  <c r="J202" i="6"/>
  <c r="J244" i="6" s="1"/>
  <c r="J286" i="6" s="1"/>
  <c r="J328" i="6" s="1"/>
  <c r="H303" i="5"/>
  <c r="H213" i="6"/>
  <c r="AG246" i="5"/>
  <c r="AH246" i="5" s="1"/>
  <c r="F313" i="5"/>
  <c r="AG219" i="5"/>
  <c r="F286" i="5"/>
  <c r="L164" i="3"/>
  <c r="J22" i="11" s="1"/>
  <c r="I28" i="16" s="1"/>
  <c r="U11" i="9"/>
  <c r="F26" i="10"/>
  <c r="J61" i="2"/>
  <c r="AI302" i="5"/>
  <c r="AJ302" i="5" s="1"/>
  <c r="AK302" i="5"/>
  <c r="AL302" i="5" s="1"/>
  <c r="AI334" i="5"/>
  <c r="AJ334" i="5" s="1"/>
  <c r="AK334" i="5"/>
  <c r="AL334" i="5" s="1"/>
  <c r="AK340" i="5"/>
  <c r="AL340" i="5" s="1"/>
  <c r="AI340" i="5"/>
  <c r="AJ340" i="5" s="1"/>
  <c r="S11" i="9"/>
  <c r="AI291" i="5"/>
  <c r="AJ291" i="5" s="1"/>
  <c r="AK291" i="5"/>
  <c r="AL291" i="5" s="1"/>
  <c r="AI315" i="5"/>
  <c r="AJ315" i="5" s="1"/>
  <c r="AK315" i="5"/>
  <c r="AL315" i="5" s="1"/>
  <c r="AM315" i="5" s="1"/>
  <c r="T11" i="9"/>
  <c r="AA53" i="9"/>
  <c r="AA54" i="9"/>
  <c r="AA29" i="9"/>
  <c r="AA127" i="9"/>
  <c r="AA56" i="9"/>
  <c r="AA77" i="9"/>
  <c r="AA135" i="9"/>
  <c r="AA76" i="9"/>
  <c r="AA18" i="9"/>
  <c r="G28" i="10" s="1"/>
  <c r="G52" i="10" s="1"/>
  <c r="AA86" i="9"/>
  <c r="AA19" i="9"/>
  <c r="AA132" i="9"/>
  <c r="AA110" i="9"/>
  <c r="AA133" i="9"/>
  <c r="AA118" i="9"/>
  <c r="AA134" i="9"/>
  <c r="AA137" i="9"/>
  <c r="AA142" i="9"/>
  <c r="AA104" i="9"/>
  <c r="AA80" i="9"/>
  <c r="AA98" i="9"/>
  <c r="AA47" i="9"/>
  <c r="AA61" i="9"/>
  <c r="AA62" i="9"/>
  <c r="AA25" i="9"/>
  <c r="AA38" i="9"/>
  <c r="AA99" i="9"/>
  <c r="AA58" i="9"/>
  <c r="AA103" i="9"/>
  <c r="AA51" i="9"/>
  <c r="AA144" i="9"/>
  <c r="AA75" i="9"/>
  <c r="AA91" i="9"/>
  <c r="AA15" i="9"/>
  <c r="AA46" i="9"/>
  <c r="AA139" i="9"/>
  <c r="AA52" i="9"/>
  <c r="AA22" i="9"/>
  <c r="AA16" i="9"/>
  <c r="AA145" i="9"/>
  <c r="AA26" i="9"/>
  <c r="AA81" i="9"/>
  <c r="AA73" i="9"/>
  <c r="AA70" i="9"/>
  <c r="AA40" i="9"/>
  <c r="AA112" i="9"/>
  <c r="AA143" i="9"/>
  <c r="AA114" i="9"/>
  <c r="AA130" i="9"/>
  <c r="AA84" i="9"/>
  <c r="AA95" i="9"/>
  <c r="AA71" i="9"/>
  <c r="AA109" i="9"/>
  <c r="AA85" i="9"/>
  <c r="AA59" i="9"/>
  <c r="AA78" i="9"/>
  <c r="AA48" i="9"/>
  <c r="AA21" i="9"/>
  <c r="AA41" i="9"/>
  <c r="AA111" i="9"/>
  <c r="AA120" i="9"/>
  <c r="AA115" i="9"/>
  <c r="AA129" i="9"/>
  <c r="AA14" i="9"/>
  <c r="AA105" i="9"/>
  <c r="AA121" i="9"/>
  <c r="AA13" i="9"/>
  <c r="AA27" i="9"/>
  <c r="AA24" i="9"/>
  <c r="AA94" i="9"/>
  <c r="AA119" i="9"/>
  <c r="AA28" i="9"/>
  <c r="AA32" i="9"/>
  <c r="AA88" i="9"/>
  <c r="AA64" i="9"/>
  <c r="AA82" i="9"/>
  <c r="AA31" i="9"/>
  <c r="AA146" i="9"/>
  <c r="AA124" i="9"/>
  <c r="AA72" i="9"/>
  <c r="AA50" i="9"/>
  <c r="AA66" i="9"/>
  <c r="AA126" i="9"/>
  <c r="AA138" i="9"/>
  <c r="AA100" i="9"/>
  <c r="AA92" i="9"/>
  <c r="AA34" i="9"/>
  <c r="AA102" i="9"/>
  <c r="AA23" i="9"/>
  <c r="AA60" i="9"/>
  <c r="AA33" i="9"/>
  <c r="AA37" i="9"/>
  <c r="AA123" i="9"/>
  <c r="AA87" i="9"/>
  <c r="AA125" i="9"/>
  <c r="AA141" i="9"/>
  <c r="AA128" i="9"/>
  <c r="AA101" i="9"/>
  <c r="AA117" i="9"/>
  <c r="AA67" i="9"/>
  <c r="AA57" i="9"/>
  <c r="AA20" i="9"/>
  <c r="AA17" i="9"/>
  <c r="AA90" i="9"/>
  <c r="AA44" i="9"/>
  <c r="AA65" i="9"/>
  <c r="AA131" i="9"/>
  <c r="AA55" i="9"/>
  <c r="AA93" i="9"/>
  <c r="AA69" i="9"/>
  <c r="AA43" i="9"/>
  <c r="AA36" i="9"/>
  <c r="AA136" i="9"/>
  <c r="AA68" i="9"/>
  <c r="AA96" i="9"/>
  <c r="AA106" i="9"/>
  <c r="AA122" i="9"/>
  <c r="AA107" i="9"/>
  <c r="AA83" i="9"/>
  <c r="AA42" i="9"/>
  <c r="AA97" i="9"/>
  <c r="AA89" i="9"/>
  <c r="AA35" i="9"/>
  <c r="AA140" i="9"/>
  <c r="AA45" i="9"/>
  <c r="AA49" i="9"/>
  <c r="AA30" i="9"/>
  <c r="AA116" i="9"/>
  <c r="AA108" i="9"/>
  <c r="AA74" i="9"/>
  <c r="AA39" i="9"/>
  <c r="AA113" i="9"/>
  <c r="AA63" i="9"/>
  <c r="AA79" i="9"/>
  <c r="AC13" i="9"/>
  <c r="AC19" i="9"/>
  <c r="AC28" i="9"/>
  <c r="AC63" i="9"/>
  <c r="AC46" i="9"/>
  <c r="AC123" i="9"/>
  <c r="AC76" i="9"/>
  <c r="AC111" i="9"/>
  <c r="AC75" i="9"/>
  <c r="AC68" i="9"/>
  <c r="AC35" i="9"/>
  <c r="AC14" i="9"/>
  <c r="I24" i="10" s="1"/>
  <c r="AC70" i="9"/>
  <c r="AC121" i="9"/>
  <c r="AC88" i="9"/>
  <c r="AC15" i="9"/>
  <c r="AC125" i="9"/>
  <c r="AC136" i="9"/>
  <c r="AC78" i="9"/>
  <c r="AC134" i="9"/>
  <c r="AC38" i="9"/>
  <c r="AC51" i="9"/>
  <c r="AC30" i="9"/>
  <c r="AC43" i="9"/>
  <c r="AC139" i="9"/>
  <c r="AC86" i="9"/>
  <c r="AC34" i="9"/>
  <c r="AC89" i="9"/>
  <c r="AC56" i="9"/>
  <c r="AC23" i="9"/>
  <c r="AC95" i="9"/>
  <c r="AC122" i="9"/>
  <c r="AC135" i="9"/>
  <c r="AC58" i="9"/>
  <c r="AC71" i="9"/>
  <c r="AC120" i="9"/>
  <c r="AC113" i="9"/>
  <c r="AC21" i="9"/>
  <c r="AC26" i="9"/>
  <c r="AC65" i="9"/>
  <c r="AC97" i="9"/>
  <c r="AC69" i="9"/>
  <c r="AC17" i="9"/>
  <c r="I27" i="10" s="1"/>
  <c r="AC22" i="9"/>
  <c r="AC110" i="9"/>
  <c r="AC129" i="9"/>
  <c r="AC112" i="9"/>
  <c r="AC79" i="9"/>
  <c r="AC42" i="9"/>
  <c r="AC138" i="9"/>
  <c r="AC83" i="9"/>
  <c r="AC92" i="9"/>
  <c r="AC40" i="9"/>
  <c r="AC146" i="9"/>
  <c r="AC16" i="9"/>
  <c r="AC25" i="9"/>
  <c r="AC143" i="9"/>
  <c r="AC128" i="9"/>
  <c r="AC81" i="9"/>
  <c r="AC64" i="9"/>
  <c r="AC91" i="9"/>
  <c r="AC47" i="9"/>
  <c r="AC119" i="9"/>
  <c r="AC144" i="9"/>
  <c r="AC117" i="9"/>
  <c r="AC100" i="9"/>
  <c r="AC109" i="9"/>
  <c r="AC36" i="9"/>
  <c r="AC45" i="9"/>
  <c r="AC74" i="9"/>
  <c r="AC87" i="9"/>
  <c r="AC118" i="9"/>
  <c r="AC131" i="9"/>
  <c r="AC39" i="9"/>
  <c r="AC48" i="9"/>
  <c r="AC59" i="9"/>
  <c r="AC96" i="9"/>
  <c r="AC127" i="9"/>
  <c r="AC72" i="9"/>
  <c r="AC103" i="9"/>
  <c r="AC66" i="9"/>
  <c r="AC37" i="9"/>
  <c r="AC20" i="9"/>
  <c r="AC52" i="9"/>
  <c r="AC57" i="9"/>
  <c r="AC62" i="9"/>
  <c r="AC141" i="9"/>
  <c r="AC130" i="9"/>
  <c r="AC101" i="9"/>
  <c r="AC106" i="9"/>
  <c r="AC55" i="9"/>
  <c r="AC82" i="9"/>
  <c r="AC114" i="9"/>
  <c r="AC33" i="9"/>
  <c r="AC102" i="9"/>
  <c r="AC93" i="9"/>
  <c r="AC124" i="9"/>
  <c r="AC107" i="9"/>
  <c r="AC54" i="9"/>
  <c r="AC67" i="9"/>
  <c r="AC73" i="9"/>
  <c r="AC142" i="9"/>
  <c r="AC61" i="9"/>
  <c r="AC32" i="9"/>
  <c r="AC105" i="9"/>
  <c r="AC140" i="9"/>
  <c r="AC133" i="9"/>
  <c r="AC98" i="9"/>
  <c r="AC50" i="9"/>
  <c r="AC85" i="9"/>
  <c r="AC90" i="9"/>
  <c r="AC77" i="9"/>
  <c r="AC44" i="9"/>
  <c r="AC116" i="9"/>
  <c r="AC145" i="9"/>
  <c r="AC126" i="9"/>
  <c r="AC24" i="9"/>
  <c r="AC99" i="9"/>
  <c r="AC108" i="9"/>
  <c r="AC27" i="9"/>
  <c r="AC84" i="9"/>
  <c r="AC29" i="9"/>
  <c r="AC60" i="9"/>
  <c r="AC53" i="9"/>
  <c r="AC18" i="9"/>
  <c r="AC132" i="9"/>
  <c r="AC80" i="9"/>
  <c r="AC115" i="9"/>
  <c r="AC94" i="9"/>
  <c r="AC49" i="9"/>
  <c r="AC137" i="9"/>
  <c r="AC41" i="9"/>
  <c r="AC31" i="9"/>
  <c r="AC104" i="9"/>
  <c r="AK300" i="5"/>
  <c r="AL300" i="5" s="1"/>
  <c r="AI300" i="5"/>
  <c r="AJ300" i="5" s="1"/>
  <c r="V76" i="9"/>
  <c r="V99" i="9"/>
  <c r="V131" i="9"/>
  <c r="V137" i="9"/>
  <c r="V26" i="9"/>
  <c r="V100" i="9"/>
  <c r="V83" i="9"/>
  <c r="V107" i="9"/>
  <c r="V75" i="9"/>
  <c r="V35" i="9"/>
  <c r="V92" i="9"/>
  <c r="V124" i="9"/>
  <c r="V138" i="9"/>
  <c r="V55" i="9"/>
  <c r="V19" i="9"/>
  <c r="V143" i="9"/>
  <c r="V50" i="9"/>
  <c r="V81" i="9"/>
  <c r="V69" i="9"/>
  <c r="V122" i="9"/>
  <c r="V123" i="9"/>
  <c r="V28" i="9"/>
  <c r="V33" i="9"/>
  <c r="V82" i="9"/>
  <c r="V37" i="9"/>
  <c r="V68" i="9"/>
  <c r="V51" i="9"/>
  <c r="V67" i="9"/>
  <c r="V30" i="9"/>
  <c r="V87" i="9"/>
  <c r="V145" i="9"/>
  <c r="V142" i="9"/>
  <c r="V27" i="9"/>
  <c r="V59" i="9"/>
  <c r="V49" i="9"/>
  <c r="V95" i="9"/>
  <c r="V54" i="9"/>
  <c r="V56" i="9"/>
  <c r="V63" i="9"/>
  <c r="V128" i="9"/>
  <c r="V90" i="9"/>
  <c r="V104" i="9"/>
  <c r="V102" i="9"/>
  <c r="V52" i="9"/>
  <c r="V24" i="9"/>
  <c r="V88" i="9"/>
  <c r="V22" i="9"/>
  <c r="V70" i="9"/>
  <c r="V29" i="9"/>
  <c r="V58" i="9"/>
  <c r="V60" i="9"/>
  <c r="V96" i="9"/>
  <c r="V98" i="9"/>
  <c r="V93" i="9"/>
  <c r="V117" i="9"/>
  <c r="V73" i="9"/>
  <c r="V38" i="9"/>
  <c r="V44" i="9"/>
  <c r="V144" i="9"/>
  <c r="V40" i="9"/>
  <c r="V80" i="9"/>
  <c r="V115" i="9"/>
  <c r="V94" i="9"/>
  <c r="V47" i="9"/>
  <c r="V118" i="9"/>
  <c r="V130" i="9"/>
  <c r="V120" i="9"/>
  <c r="V134" i="9"/>
  <c r="V135" i="9"/>
  <c r="V86" i="9"/>
  <c r="V146" i="9"/>
  <c r="V108" i="9"/>
  <c r="V105" i="9"/>
  <c r="V65" i="9"/>
  <c r="V34" i="9"/>
  <c r="V127" i="9"/>
  <c r="V133" i="9"/>
  <c r="V42" i="9"/>
  <c r="AD7" i="9"/>
  <c r="V48" i="9"/>
  <c r="V45" i="9"/>
  <c r="V39" i="9"/>
  <c r="V20" i="9"/>
  <c r="V109" i="9"/>
  <c r="V139" i="9"/>
  <c r="V31" i="9"/>
  <c r="V141" i="9"/>
  <c r="V36" i="9"/>
  <c r="V126" i="9"/>
  <c r="V91" i="9"/>
  <c r="V62" i="9"/>
  <c r="V78" i="9"/>
  <c r="V110" i="9"/>
  <c r="V43" i="9"/>
  <c r="V132" i="9"/>
  <c r="V136" i="9"/>
  <c r="V121" i="9"/>
  <c r="V46" i="9"/>
  <c r="V32" i="9"/>
  <c r="V66" i="9"/>
  <c r="V84" i="9"/>
  <c r="V140" i="9"/>
  <c r="V113" i="9"/>
  <c r="V111" i="9"/>
  <c r="V74" i="9"/>
  <c r="V106" i="9"/>
  <c r="V129" i="9"/>
  <c r="V23" i="9"/>
  <c r="V77" i="9"/>
  <c r="V41" i="9"/>
  <c r="V116" i="9"/>
  <c r="V57" i="9"/>
  <c r="V71" i="9"/>
  <c r="V72" i="9"/>
  <c r="V103" i="9"/>
  <c r="V21" i="9"/>
  <c r="V25" i="9"/>
  <c r="V112" i="9"/>
  <c r="V53" i="9"/>
  <c r="V85" i="9"/>
  <c r="V61" i="9"/>
  <c r="V125" i="9"/>
  <c r="V101" i="9"/>
  <c r="V64" i="9"/>
  <c r="V79" i="9"/>
  <c r="V114" i="9"/>
  <c r="V97" i="9"/>
  <c r="V89" i="9"/>
  <c r="V119" i="9"/>
  <c r="V15" i="9"/>
  <c r="V16" i="9"/>
  <c r="V13" i="9"/>
  <c r="V14" i="9"/>
  <c r="V17" i="9"/>
  <c r="J38" i="10" s="1"/>
  <c r="L110" i="7" s="1"/>
  <c r="V18" i="9"/>
  <c r="J39" i="10" s="1"/>
  <c r="L111" i="7" s="1"/>
  <c r="AK304" i="5"/>
  <c r="AL304" i="5" s="1"/>
  <c r="AI304" i="5"/>
  <c r="AJ304" i="5" s="1"/>
  <c r="AB23" i="9"/>
  <c r="AB109" i="9"/>
  <c r="AB85" i="9"/>
  <c r="AB43" i="9"/>
  <c r="AB65" i="9"/>
  <c r="AB132" i="9"/>
  <c r="AB49" i="9"/>
  <c r="AB114" i="9"/>
  <c r="AB137" i="9"/>
  <c r="AB30" i="9"/>
  <c r="AB111" i="9"/>
  <c r="AB105" i="9"/>
  <c r="AB112" i="9"/>
  <c r="AB63" i="9"/>
  <c r="AB62" i="9"/>
  <c r="AB14" i="9"/>
  <c r="AB118" i="9"/>
  <c r="AB99" i="9"/>
  <c r="AB78" i="9"/>
  <c r="AB125" i="9"/>
  <c r="AB130" i="9"/>
  <c r="AB87" i="9"/>
  <c r="AB117" i="9"/>
  <c r="AB133" i="9"/>
  <c r="AB66" i="9"/>
  <c r="AB38" i="9"/>
  <c r="AB86" i="9"/>
  <c r="AB104" i="9"/>
  <c r="AB127" i="9"/>
  <c r="AB17" i="9"/>
  <c r="H27" i="10" s="1"/>
  <c r="AB35" i="9"/>
  <c r="AB80" i="9"/>
  <c r="AB97" i="9"/>
  <c r="AB21" i="9"/>
  <c r="AB25" i="9"/>
  <c r="AB103" i="9"/>
  <c r="AB55" i="9"/>
  <c r="AB61" i="9"/>
  <c r="AB19" i="9"/>
  <c r="AB144" i="9"/>
  <c r="AB58" i="9"/>
  <c r="AB74" i="9"/>
  <c r="AB134" i="9"/>
  <c r="AB28" i="9"/>
  <c r="AB108" i="9"/>
  <c r="AB75" i="9"/>
  <c r="AB110" i="9"/>
  <c r="AB102" i="9"/>
  <c r="AB20" i="9"/>
  <c r="AB76" i="9"/>
  <c r="AB115" i="9"/>
  <c r="AB40" i="9"/>
  <c r="AB126" i="9"/>
  <c r="AB131" i="9"/>
  <c r="AB90" i="9"/>
  <c r="AB59" i="9"/>
  <c r="AB18" i="9"/>
  <c r="H28" i="10" s="1"/>
  <c r="AB107" i="9"/>
  <c r="AB31" i="9"/>
  <c r="AB54" i="9"/>
  <c r="AB95" i="9"/>
  <c r="AB81" i="9"/>
  <c r="AB124" i="9"/>
  <c r="AB128" i="9"/>
  <c r="AB142" i="9"/>
  <c r="AB70" i="9"/>
  <c r="AB106" i="9"/>
  <c r="AB26" i="9"/>
  <c r="AB100" i="9"/>
  <c r="AB121" i="9"/>
  <c r="AB33" i="9"/>
  <c r="AB71" i="9"/>
  <c r="AB101" i="9"/>
  <c r="AB32" i="9"/>
  <c r="AB44" i="9"/>
  <c r="AB39" i="9"/>
  <c r="AB16" i="9"/>
  <c r="AB145" i="9"/>
  <c r="AB123" i="9"/>
  <c r="AB68" i="9"/>
  <c r="AB60" i="9"/>
  <c r="AB138" i="9"/>
  <c r="AB50" i="9"/>
  <c r="AB56" i="9"/>
  <c r="AB79" i="9"/>
  <c r="AB48" i="9"/>
  <c r="AB27" i="9"/>
  <c r="AB47" i="9"/>
  <c r="AB53" i="9"/>
  <c r="AB88" i="9"/>
  <c r="AB57" i="9"/>
  <c r="AB113" i="9"/>
  <c r="AB51" i="9"/>
  <c r="AB45" i="9"/>
  <c r="AB93" i="9"/>
  <c r="AB139" i="9"/>
  <c r="AB83" i="9"/>
  <c r="AB67" i="9"/>
  <c r="AB119" i="9"/>
  <c r="AB84" i="9"/>
  <c r="AB13" i="9"/>
  <c r="AB29" i="9"/>
  <c r="AB91" i="9"/>
  <c r="AB42" i="9"/>
  <c r="AB73" i="9"/>
  <c r="AB22" i="9"/>
  <c r="AB146" i="9"/>
  <c r="AB136" i="9"/>
  <c r="AB69" i="9"/>
  <c r="AB129" i="9"/>
  <c r="AB141" i="9"/>
  <c r="AB72" i="9"/>
  <c r="AB82" i="9"/>
  <c r="AB34" i="9"/>
  <c r="AB24" i="9"/>
  <c r="AB64" i="9"/>
  <c r="AB41" i="9"/>
  <c r="AB143" i="9"/>
  <c r="AB140" i="9"/>
  <c r="AB77" i="9"/>
  <c r="AB122" i="9"/>
  <c r="AB98" i="9"/>
  <c r="AB120" i="9"/>
  <c r="AB96" i="9"/>
  <c r="AB94" i="9"/>
  <c r="AB36" i="9"/>
  <c r="AB15" i="9"/>
  <c r="AB89" i="9"/>
  <c r="AB37" i="9"/>
  <c r="AB92" i="9"/>
  <c r="AB116" i="9"/>
  <c r="AB52" i="9"/>
  <c r="AB46" i="9"/>
  <c r="AB135" i="9"/>
  <c r="F23" i="10"/>
  <c r="F47" i="10" s="1"/>
  <c r="Z11" i="9"/>
  <c r="AK339" i="5"/>
  <c r="AL339" i="5" s="1"/>
  <c r="AI339" i="5"/>
  <c r="AJ339" i="5" s="1"/>
  <c r="AK305" i="5"/>
  <c r="AL305" i="5" s="1"/>
  <c r="AI305" i="5"/>
  <c r="AJ305" i="5" s="1"/>
  <c r="AI301" i="5"/>
  <c r="AJ301" i="5" s="1"/>
  <c r="AK301" i="5"/>
  <c r="AL301" i="5" s="1"/>
  <c r="AK311" i="5"/>
  <c r="AL311" i="5" s="1"/>
  <c r="AI311" i="5"/>
  <c r="AJ311" i="5" s="1"/>
  <c r="AI296" i="5"/>
  <c r="AJ296" i="5" s="1"/>
  <c r="AK296" i="5"/>
  <c r="AL296" i="5" s="1"/>
  <c r="AK294" i="5"/>
  <c r="AL294" i="5" s="1"/>
  <c r="AI294" i="5"/>
  <c r="AJ294" i="5" s="1"/>
  <c r="H113" i="7"/>
  <c r="K154" i="3"/>
  <c r="I15" i="11" s="1"/>
  <c r="H77" i="2"/>
  <c r="G77" i="2"/>
  <c r="H67" i="2"/>
  <c r="G67" i="2"/>
  <c r="I25" i="11"/>
  <c r="H30" i="16" s="1"/>
  <c r="I71" i="11"/>
  <c r="I26" i="11"/>
  <c r="H31" i="16" s="1"/>
  <c r="I72" i="11"/>
  <c r="H71" i="11"/>
  <c r="H72" i="11"/>
  <c r="I63" i="11"/>
  <c r="J26" i="11"/>
  <c r="I31" i="16" s="1"/>
  <c r="J72" i="11"/>
  <c r="I65" i="11"/>
  <c r="I17" i="11"/>
  <c r="H25" i="16" s="1"/>
  <c r="H63" i="11"/>
  <c r="H65" i="11"/>
  <c r="J25" i="11"/>
  <c r="I30" i="16" s="1"/>
  <c r="H97" i="3"/>
  <c r="AH68" i="6"/>
  <c r="AH89" i="6" s="1"/>
  <c r="AD462" i="5" l="1"/>
  <c r="AB91" i="4"/>
  <c r="AA87" i="4"/>
  <c r="J40" i="2"/>
  <c r="J47" i="2" s="1"/>
  <c r="AD253" i="5"/>
  <c r="AB145" i="6"/>
  <c r="H238" i="6"/>
  <c r="AM339" i="5"/>
  <c r="Y191" i="6"/>
  <c r="AB191" i="6" s="1"/>
  <c r="AD426" i="5"/>
  <c r="N164" i="3"/>
  <c r="L22" i="11" s="1"/>
  <c r="K28" i="16" s="1"/>
  <c r="AM473" i="5"/>
  <c r="AD429" i="5"/>
  <c r="AD427" i="5"/>
  <c r="Y233" i="6"/>
  <c r="AB233" i="6" s="1"/>
  <c r="AD390" i="5"/>
  <c r="AD328" i="5"/>
  <c r="AD221" i="5"/>
  <c r="AD467" i="5"/>
  <c r="AM425" i="5"/>
  <c r="AD469" i="5"/>
  <c r="AM468" i="5"/>
  <c r="AM449" i="5"/>
  <c r="AK427" i="5"/>
  <c r="AL427" i="5" s="1"/>
  <c r="AM427" i="5" s="1"/>
  <c r="AI427" i="5"/>
  <c r="AJ427" i="5" s="1"/>
  <c r="I440" i="5"/>
  <c r="Y440" i="5" s="1"/>
  <c r="O440" i="5"/>
  <c r="R440" i="5"/>
  <c r="T440" i="5"/>
  <c r="S440" i="5"/>
  <c r="P440" i="5"/>
  <c r="N440" i="5"/>
  <c r="T432" i="5"/>
  <c r="P432" i="5"/>
  <c r="O432" i="5"/>
  <c r="S432" i="5"/>
  <c r="I432" i="5"/>
  <c r="R432" i="5"/>
  <c r="N432" i="5"/>
  <c r="N455" i="5"/>
  <c r="S455" i="5"/>
  <c r="I455" i="5"/>
  <c r="Y455" i="5" s="1"/>
  <c r="O455" i="5"/>
  <c r="P455" i="5"/>
  <c r="R455" i="5"/>
  <c r="T455" i="5"/>
  <c r="T422" i="5"/>
  <c r="N422" i="5"/>
  <c r="O422" i="5"/>
  <c r="I422" i="5"/>
  <c r="Y422" i="5" s="1"/>
  <c r="S422" i="5"/>
  <c r="P422" i="5"/>
  <c r="R422" i="5"/>
  <c r="AF472" i="5"/>
  <c r="AK432" i="5"/>
  <c r="AL432" i="5" s="1"/>
  <c r="AM432" i="5" s="1"/>
  <c r="AI432" i="5"/>
  <c r="AJ432" i="5" s="1"/>
  <c r="N430" i="5"/>
  <c r="S430" i="5"/>
  <c r="T430" i="5"/>
  <c r="O430" i="5"/>
  <c r="P430" i="5"/>
  <c r="I430" i="5"/>
  <c r="R430" i="5"/>
  <c r="AM434" i="5"/>
  <c r="AK459" i="5"/>
  <c r="AL459" i="5" s="1"/>
  <c r="AM459" i="5" s="1"/>
  <c r="AI459" i="5"/>
  <c r="AJ459" i="5" s="1"/>
  <c r="R335" i="6"/>
  <c r="N335" i="6"/>
  <c r="AD335" i="6" s="1"/>
  <c r="P335" i="6"/>
  <c r="I335" i="6"/>
  <c r="S335" i="6"/>
  <c r="T335" i="6"/>
  <c r="I431" i="5"/>
  <c r="Y431" i="5" s="1"/>
  <c r="S431" i="5"/>
  <c r="T431" i="5"/>
  <c r="R431" i="5"/>
  <c r="P431" i="5"/>
  <c r="O431" i="5"/>
  <c r="N431" i="5"/>
  <c r="T445" i="5"/>
  <c r="N445" i="5"/>
  <c r="O445" i="5"/>
  <c r="P445" i="5"/>
  <c r="I445" i="5"/>
  <c r="S445" i="5"/>
  <c r="R445" i="5"/>
  <c r="R315" i="6"/>
  <c r="S315" i="6"/>
  <c r="I315" i="6"/>
  <c r="T315" i="6"/>
  <c r="N315" i="6"/>
  <c r="AD315" i="6" s="1"/>
  <c r="P315" i="6"/>
  <c r="O450" i="5"/>
  <c r="I450" i="5"/>
  <c r="R450" i="5"/>
  <c r="S450" i="5"/>
  <c r="T450" i="5"/>
  <c r="P450" i="5"/>
  <c r="N450" i="5"/>
  <c r="AD450" i="5" s="1"/>
  <c r="AG270" i="6"/>
  <c r="AH270" i="6" s="1"/>
  <c r="F312" i="6"/>
  <c r="AG312" i="6" s="1"/>
  <c r="F59" i="16"/>
  <c r="AK444" i="5"/>
  <c r="AL444" i="5" s="1"/>
  <c r="AM444" i="5" s="1"/>
  <c r="AI444" i="5"/>
  <c r="AJ444" i="5" s="1"/>
  <c r="AI441" i="5"/>
  <c r="AJ441" i="5" s="1"/>
  <c r="AK441" i="5"/>
  <c r="AL441" i="5" s="1"/>
  <c r="AM441" i="5" s="1"/>
  <c r="R339" i="6"/>
  <c r="S339" i="6"/>
  <c r="I339" i="6"/>
  <c r="T339" i="6"/>
  <c r="P339" i="6"/>
  <c r="N339" i="6"/>
  <c r="AD339" i="6" s="1"/>
  <c r="N442" i="5"/>
  <c r="I442" i="5"/>
  <c r="S442" i="5"/>
  <c r="T442" i="5"/>
  <c r="R442" i="5"/>
  <c r="O442" i="5"/>
  <c r="P442" i="5"/>
  <c r="AD360" i="5"/>
  <c r="AF451" i="5"/>
  <c r="Y451" i="5"/>
  <c r="L37" i="10"/>
  <c r="L40" i="10" s="1"/>
  <c r="L42" i="10" s="1"/>
  <c r="L24" i="11" s="1"/>
  <c r="K29" i="16" s="1"/>
  <c r="X11" i="9"/>
  <c r="AK450" i="5"/>
  <c r="AL450" i="5" s="1"/>
  <c r="AM450" i="5" s="1"/>
  <c r="AI450" i="5"/>
  <c r="AJ450" i="5" s="1"/>
  <c r="AI463" i="5"/>
  <c r="AJ463" i="5" s="1"/>
  <c r="AK463" i="5"/>
  <c r="AL463" i="5" s="1"/>
  <c r="AM463" i="5" s="1"/>
  <c r="AI451" i="5"/>
  <c r="AJ451" i="5" s="1"/>
  <c r="AK451" i="5"/>
  <c r="AL451" i="5" s="1"/>
  <c r="AM451" i="5" s="1"/>
  <c r="AK461" i="5"/>
  <c r="AL461" i="5" s="1"/>
  <c r="AM461" i="5" s="1"/>
  <c r="AI461" i="5"/>
  <c r="AJ461" i="5" s="1"/>
  <c r="R319" i="6"/>
  <c r="N319" i="6"/>
  <c r="AD319" i="6" s="1"/>
  <c r="T319" i="6"/>
  <c r="I319" i="6"/>
  <c r="S319" i="6"/>
  <c r="P319" i="6"/>
  <c r="P464" i="5"/>
  <c r="R464" i="5"/>
  <c r="S464" i="5"/>
  <c r="I464" i="5"/>
  <c r="T464" i="5"/>
  <c r="O464" i="5"/>
  <c r="N464" i="5"/>
  <c r="R320" i="6"/>
  <c r="S320" i="6"/>
  <c r="I320" i="6"/>
  <c r="N320" i="6"/>
  <c r="AD320" i="6" s="1"/>
  <c r="P320" i="6"/>
  <c r="T320" i="6"/>
  <c r="R325" i="6"/>
  <c r="N325" i="6"/>
  <c r="AD325" i="6" s="1"/>
  <c r="I325" i="6"/>
  <c r="S325" i="6"/>
  <c r="T325" i="6"/>
  <c r="P325" i="6"/>
  <c r="R333" i="6"/>
  <c r="S333" i="6"/>
  <c r="I333" i="6"/>
  <c r="T333" i="6"/>
  <c r="P333" i="6"/>
  <c r="N333" i="6"/>
  <c r="AD333" i="6" s="1"/>
  <c r="AI423" i="5"/>
  <c r="AJ423" i="5" s="1"/>
  <c r="AK423" i="5"/>
  <c r="AL423" i="5" s="1"/>
  <c r="AM423" i="5" s="1"/>
  <c r="AD247" i="5"/>
  <c r="M27" i="3"/>
  <c r="J46" i="16"/>
  <c r="L26" i="2"/>
  <c r="AG356" i="5"/>
  <c r="AH356" i="5" s="1"/>
  <c r="F423" i="5"/>
  <c r="AG423" i="5" s="1"/>
  <c r="AH423" i="5" s="1"/>
  <c r="AI429" i="5"/>
  <c r="AJ429" i="5" s="1"/>
  <c r="AK429" i="5"/>
  <c r="AL429" i="5" s="1"/>
  <c r="AM429" i="5" s="1"/>
  <c r="M156" i="3"/>
  <c r="N89" i="3"/>
  <c r="N156" i="3"/>
  <c r="M157" i="3"/>
  <c r="N90" i="3"/>
  <c r="N157" i="3" s="1"/>
  <c r="AM474" i="5"/>
  <c r="AD461" i="5"/>
  <c r="AK289" i="5"/>
  <c r="AL289" i="5" s="1"/>
  <c r="AI297" i="5"/>
  <c r="AJ297" i="5" s="1"/>
  <c r="P460" i="5"/>
  <c r="R460" i="5"/>
  <c r="I460" i="5"/>
  <c r="S460" i="5"/>
  <c r="O460" i="5"/>
  <c r="T460" i="5"/>
  <c r="N460" i="5"/>
  <c r="R340" i="6"/>
  <c r="P340" i="6"/>
  <c r="T340" i="6"/>
  <c r="N340" i="6"/>
  <c r="AD340" i="6" s="1"/>
  <c r="S340" i="6"/>
  <c r="I340" i="6"/>
  <c r="P428" i="5"/>
  <c r="S428" i="5"/>
  <c r="N428" i="5"/>
  <c r="O428" i="5"/>
  <c r="R428" i="5"/>
  <c r="T428" i="5"/>
  <c r="I428" i="5"/>
  <c r="T436" i="5"/>
  <c r="O436" i="5"/>
  <c r="P436" i="5"/>
  <c r="N436" i="5"/>
  <c r="R436" i="5"/>
  <c r="I436" i="5"/>
  <c r="Y436" i="5" s="1"/>
  <c r="S436" i="5"/>
  <c r="AI466" i="5"/>
  <c r="AJ466" i="5" s="1"/>
  <c r="AK466" i="5"/>
  <c r="AL466" i="5" s="1"/>
  <c r="AM466" i="5" s="1"/>
  <c r="AM288" i="5"/>
  <c r="AI447" i="5"/>
  <c r="AJ447" i="5" s="1"/>
  <c r="AK447" i="5"/>
  <c r="AL447" i="5" s="1"/>
  <c r="AM447" i="5" s="1"/>
  <c r="R316" i="6"/>
  <c r="N316" i="6"/>
  <c r="AD316" i="6" s="1"/>
  <c r="I316" i="6"/>
  <c r="T316" i="6"/>
  <c r="P316" i="6"/>
  <c r="S316" i="6"/>
  <c r="R323" i="6"/>
  <c r="N323" i="6"/>
  <c r="AD323" i="6" s="1"/>
  <c r="P323" i="6"/>
  <c r="I323" i="6"/>
  <c r="S323" i="6"/>
  <c r="T323" i="6"/>
  <c r="T473" i="5"/>
  <c r="N473" i="5"/>
  <c r="P473" i="5"/>
  <c r="O473" i="5"/>
  <c r="S473" i="5"/>
  <c r="R473" i="5"/>
  <c r="I473" i="5"/>
  <c r="R318" i="6"/>
  <c r="S318" i="6"/>
  <c r="I318" i="6"/>
  <c r="T318" i="6"/>
  <c r="P318" i="6"/>
  <c r="N318" i="6"/>
  <c r="AD318" i="6" s="1"/>
  <c r="T470" i="5"/>
  <c r="P470" i="5"/>
  <c r="N470" i="5"/>
  <c r="O470" i="5"/>
  <c r="I470" i="5"/>
  <c r="S470" i="5"/>
  <c r="R470" i="5"/>
  <c r="T433" i="5"/>
  <c r="P433" i="5"/>
  <c r="N433" i="5"/>
  <c r="R433" i="5"/>
  <c r="I433" i="5"/>
  <c r="O433" i="5"/>
  <c r="S433" i="5"/>
  <c r="T444" i="5"/>
  <c r="O444" i="5"/>
  <c r="P444" i="5"/>
  <c r="I444" i="5"/>
  <c r="R444" i="5"/>
  <c r="S444" i="5"/>
  <c r="N444" i="5"/>
  <c r="I439" i="5"/>
  <c r="T439" i="5"/>
  <c r="S439" i="5"/>
  <c r="O439" i="5"/>
  <c r="N439" i="5"/>
  <c r="P439" i="5"/>
  <c r="R439" i="5"/>
  <c r="R330" i="6"/>
  <c r="S330" i="6"/>
  <c r="I330" i="6"/>
  <c r="T330" i="6"/>
  <c r="P330" i="6"/>
  <c r="N330" i="6"/>
  <c r="AD330" i="6" s="1"/>
  <c r="R435" i="5"/>
  <c r="N435" i="5"/>
  <c r="I435" i="5"/>
  <c r="S435" i="5"/>
  <c r="T435" i="5"/>
  <c r="P435" i="5"/>
  <c r="O435" i="5"/>
  <c r="R332" i="6"/>
  <c r="N332" i="6"/>
  <c r="AD332" i="6" s="1"/>
  <c r="P332" i="6"/>
  <c r="T332" i="6"/>
  <c r="S332" i="6"/>
  <c r="I332" i="6"/>
  <c r="T454" i="5"/>
  <c r="P454" i="5"/>
  <c r="N454" i="5"/>
  <c r="O454" i="5"/>
  <c r="S454" i="5"/>
  <c r="R454" i="5"/>
  <c r="I454" i="5"/>
  <c r="T466" i="5"/>
  <c r="P466" i="5"/>
  <c r="O466" i="5"/>
  <c r="N466" i="5"/>
  <c r="AD466" i="5" s="1"/>
  <c r="R466" i="5"/>
  <c r="S466" i="5"/>
  <c r="I466" i="5"/>
  <c r="K65" i="14"/>
  <c r="N28" i="7"/>
  <c r="N37" i="3"/>
  <c r="L71" i="2"/>
  <c r="L76" i="2" s="1"/>
  <c r="N36" i="3"/>
  <c r="N29" i="7"/>
  <c r="M77" i="3"/>
  <c r="M154" i="3" s="1"/>
  <c r="K15" i="11" s="1"/>
  <c r="N70" i="3"/>
  <c r="N77" i="3" s="1"/>
  <c r="J45" i="13"/>
  <c r="AF455" i="5"/>
  <c r="AG294" i="6"/>
  <c r="AH294" i="6" s="1"/>
  <c r="F336" i="6"/>
  <c r="AG336" i="6" s="1"/>
  <c r="AH336" i="6" s="1"/>
  <c r="AF14" i="9"/>
  <c r="AF28" i="9"/>
  <c r="AF52" i="9"/>
  <c r="AF76" i="9"/>
  <c r="AF100" i="9"/>
  <c r="AF116" i="9"/>
  <c r="AF132" i="9"/>
  <c r="AF36" i="9"/>
  <c r="AF60" i="9"/>
  <c r="AF84" i="9"/>
  <c r="AF29" i="9"/>
  <c r="AF53" i="9"/>
  <c r="AF77" i="9"/>
  <c r="AF101" i="9"/>
  <c r="AF117" i="9"/>
  <c r="AF133" i="9"/>
  <c r="AF13" i="9"/>
  <c r="AF15" i="9"/>
  <c r="AF37" i="9"/>
  <c r="AF61" i="9"/>
  <c r="AF85" i="9"/>
  <c r="AF108" i="9"/>
  <c r="AF124" i="9"/>
  <c r="AF140" i="9"/>
  <c r="AF20" i="9"/>
  <c r="AF44" i="9"/>
  <c r="AF45" i="9"/>
  <c r="AF109" i="9"/>
  <c r="AF141" i="9"/>
  <c r="AF115" i="9"/>
  <c r="AF69" i="9"/>
  <c r="AF92" i="9"/>
  <c r="AF21" i="9"/>
  <c r="AF107" i="9"/>
  <c r="AF139" i="9"/>
  <c r="AF68" i="9"/>
  <c r="AF123" i="9"/>
  <c r="AF125" i="9"/>
  <c r="AF93" i="9"/>
  <c r="AF131" i="9"/>
  <c r="AF67" i="9"/>
  <c r="AF146" i="9"/>
  <c r="AF98" i="9"/>
  <c r="AF50" i="9"/>
  <c r="AF137" i="9"/>
  <c r="AF89" i="9"/>
  <c r="AF41" i="9"/>
  <c r="AF136" i="9"/>
  <c r="AF72" i="9"/>
  <c r="AF24" i="9"/>
  <c r="AF143" i="9"/>
  <c r="AF95" i="9"/>
  <c r="AF47" i="9"/>
  <c r="AF126" i="9"/>
  <c r="AF78" i="9"/>
  <c r="AF30" i="9"/>
  <c r="AF51" i="9"/>
  <c r="AF138" i="9"/>
  <c r="AF90" i="9"/>
  <c r="AF42" i="9"/>
  <c r="AF129" i="9"/>
  <c r="AF81" i="9"/>
  <c r="AF33" i="9"/>
  <c r="AF120" i="9"/>
  <c r="AF16" i="9"/>
  <c r="AF135" i="9"/>
  <c r="AF87" i="9"/>
  <c r="AF39" i="9"/>
  <c r="AF118" i="9"/>
  <c r="AF83" i="9"/>
  <c r="AF19" i="9"/>
  <c r="AF106" i="9"/>
  <c r="AF58" i="9"/>
  <c r="AF145" i="9"/>
  <c r="AF97" i="9"/>
  <c r="AF49" i="9"/>
  <c r="AF144" i="9"/>
  <c r="AF80" i="9"/>
  <c r="AF32" i="9"/>
  <c r="AF96" i="9"/>
  <c r="AF103" i="9"/>
  <c r="AF55" i="9"/>
  <c r="AF134" i="9"/>
  <c r="AF86" i="9"/>
  <c r="AF38" i="9"/>
  <c r="AF35" i="9"/>
  <c r="AF74" i="9"/>
  <c r="AF113" i="9"/>
  <c r="AF17" i="9"/>
  <c r="AF56" i="9"/>
  <c r="AF127" i="9"/>
  <c r="AF31" i="9"/>
  <c r="AF70" i="9"/>
  <c r="AF27" i="9"/>
  <c r="AF66" i="9"/>
  <c r="AF105" i="9"/>
  <c r="AF75" i="9"/>
  <c r="AF48" i="9"/>
  <c r="AF119" i="9"/>
  <c r="AF23" i="9"/>
  <c r="AF62" i="9"/>
  <c r="AF130" i="9"/>
  <c r="AF34" i="9"/>
  <c r="AF73" i="9"/>
  <c r="AF112" i="9"/>
  <c r="AF40" i="9"/>
  <c r="AF111" i="9"/>
  <c r="AF142" i="9"/>
  <c r="AF54" i="9"/>
  <c r="AF122" i="9"/>
  <c r="AF26" i="9"/>
  <c r="AF65" i="9"/>
  <c r="AF104" i="9"/>
  <c r="AF99" i="9"/>
  <c r="AF79" i="9"/>
  <c r="AF110" i="9"/>
  <c r="AF46" i="9"/>
  <c r="AF91" i="9"/>
  <c r="AF114" i="9"/>
  <c r="AF18" i="9"/>
  <c r="AF57" i="9"/>
  <c r="AF88" i="9"/>
  <c r="AF59" i="9"/>
  <c r="AF71" i="9"/>
  <c r="AF102" i="9"/>
  <c r="AF22" i="9"/>
  <c r="AF121" i="9"/>
  <c r="AF25" i="9"/>
  <c r="AF64" i="9"/>
  <c r="AF128" i="9"/>
  <c r="AF43" i="9"/>
  <c r="AF63" i="9"/>
  <c r="AF82" i="9"/>
  <c r="AF94" i="9"/>
  <c r="AD451" i="5"/>
  <c r="AD457" i="5"/>
  <c r="AM428" i="5"/>
  <c r="AM430" i="5"/>
  <c r="AD441" i="5"/>
  <c r="AD463" i="5"/>
  <c r="N438" i="5"/>
  <c r="T438" i="5"/>
  <c r="R438" i="5"/>
  <c r="P438" i="5"/>
  <c r="S438" i="5"/>
  <c r="I438" i="5"/>
  <c r="O438" i="5"/>
  <c r="N434" i="5"/>
  <c r="P434" i="5"/>
  <c r="O434" i="5"/>
  <c r="S434" i="5"/>
  <c r="R434" i="5"/>
  <c r="T434" i="5"/>
  <c r="I434" i="5"/>
  <c r="AK431" i="5"/>
  <c r="AL431" i="5" s="1"/>
  <c r="AM431" i="5" s="1"/>
  <c r="AI431" i="5"/>
  <c r="AJ431" i="5" s="1"/>
  <c r="R322" i="6"/>
  <c r="N322" i="6"/>
  <c r="AD322" i="6" s="1"/>
  <c r="S322" i="6"/>
  <c r="P322" i="6"/>
  <c r="I322" i="6"/>
  <c r="T322" i="6"/>
  <c r="AK457" i="5"/>
  <c r="AL457" i="5" s="1"/>
  <c r="AM457" i="5" s="1"/>
  <c r="AI457" i="5"/>
  <c r="AJ457" i="5" s="1"/>
  <c r="R448" i="5"/>
  <c r="S448" i="5"/>
  <c r="T448" i="5"/>
  <c r="O448" i="5"/>
  <c r="I448" i="5"/>
  <c r="N448" i="5"/>
  <c r="P448" i="5"/>
  <c r="AF443" i="5"/>
  <c r="AG274" i="6"/>
  <c r="AH274" i="6" s="1"/>
  <c r="F316" i="6"/>
  <c r="AG316" i="6" s="1"/>
  <c r="AH316" i="6" s="1"/>
  <c r="R337" i="6"/>
  <c r="N337" i="6"/>
  <c r="AD337" i="6" s="1"/>
  <c r="I337" i="6"/>
  <c r="P337" i="6"/>
  <c r="S337" i="6"/>
  <c r="T337" i="6"/>
  <c r="H23" i="16"/>
  <c r="AK297" i="5"/>
  <c r="AL297" i="5" s="1"/>
  <c r="AM297" i="5" s="1"/>
  <c r="I452" i="5"/>
  <c r="Y452" i="5" s="1"/>
  <c r="R452" i="5"/>
  <c r="S452" i="5"/>
  <c r="N452" i="5"/>
  <c r="P452" i="5"/>
  <c r="O452" i="5"/>
  <c r="T452" i="5"/>
  <c r="AK460" i="5"/>
  <c r="AL460" i="5" s="1"/>
  <c r="AM460" i="5" s="1"/>
  <c r="AI460" i="5"/>
  <c r="AJ460" i="5" s="1"/>
  <c r="AK426" i="5"/>
  <c r="AL426" i="5" s="1"/>
  <c r="AM426" i="5" s="1"/>
  <c r="AI426" i="5"/>
  <c r="AJ426" i="5" s="1"/>
  <c r="AK462" i="5"/>
  <c r="AL462" i="5" s="1"/>
  <c r="AM462" i="5" s="1"/>
  <c r="AI462" i="5"/>
  <c r="AJ462" i="5" s="1"/>
  <c r="AK458" i="5"/>
  <c r="AL458" i="5" s="1"/>
  <c r="AM458" i="5" s="1"/>
  <c r="AI458" i="5"/>
  <c r="AJ458" i="5" s="1"/>
  <c r="G60" i="16"/>
  <c r="I43" i="14"/>
  <c r="S177" i="4"/>
  <c r="I177" i="4"/>
  <c r="T177" i="4"/>
  <c r="R177" i="4"/>
  <c r="P177" i="4"/>
  <c r="N177" i="4"/>
  <c r="AD177" i="4" s="1"/>
  <c r="R327" i="6"/>
  <c r="S327" i="6"/>
  <c r="I327" i="6"/>
  <c r="T327" i="6"/>
  <c r="P327" i="6"/>
  <c r="N327" i="6"/>
  <c r="AD327" i="6" s="1"/>
  <c r="N423" i="5"/>
  <c r="AD423" i="5" s="1"/>
  <c r="P423" i="5"/>
  <c r="R423" i="5"/>
  <c r="I423" i="5"/>
  <c r="Y423" i="5" s="1"/>
  <c r="S423" i="5"/>
  <c r="O423" i="5"/>
  <c r="T423" i="5"/>
  <c r="N312" i="6"/>
  <c r="S341" i="6"/>
  <c r="N341" i="6"/>
  <c r="AD341" i="6" s="1"/>
  <c r="P341" i="6"/>
  <c r="T341" i="6"/>
  <c r="I341" i="6"/>
  <c r="R341" i="6"/>
  <c r="P424" i="5"/>
  <c r="R424" i="5"/>
  <c r="T424" i="5"/>
  <c r="I424" i="5"/>
  <c r="Y424" i="5" s="1"/>
  <c r="O424" i="5"/>
  <c r="N424" i="5"/>
  <c r="S424" i="5"/>
  <c r="R334" i="6"/>
  <c r="T334" i="6"/>
  <c r="P334" i="6"/>
  <c r="N334" i="6"/>
  <c r="AD334" i="6" s="1"/>
  <c r="I334" i="6"/>
  <c r="S334" i="6"/>
  <c r="R472" i="5"/>
  <c r="S472" i="5"/>
  <c r="I472" i="5"/>
  <c r="Y472" i="5" s="1"/>
  <c r="T472" i="5"/>
  <c r="P472" i="5"/>
  <c r="O472" i="5"/>
  <c r="N472" i="5"/>
  <c r="T458" i="5"/>
  <c r="O458" i="5"/>
  <c r="P458" i="5"/>
  <c r="N458" i="5"/>
  <c r="R458" i="5"/>
  <c r="I458" i="5"/>
  <c r="S458" i="5"/>
  <c r="S172" i="4"/>
  <c r="I172" i="4"/>
  <c r="T172" i="4"/>
  <c r="P172" i="4"/>
  <c r="N172" i="4"/>
  <c r="AD172" i="4" s="1"/>
  <c r="R172" i="4"/>
  <c r="AD255" i="5"/>
  <c r="I23" i="16"/>
  <c r="AG374" i="5"/>
  <c r="AH374" i="5" s="1"/>
  <c r="F441" i="5"/>
  <c r="AG441" i="5" s="1"/>
  <c r="AH441" i="5" s="1"/>
  <c r="AF422" i="5"/>
  <c r="AF468" i="5"/>
  <c r="AG397" i="5"/>
  <c r="AH397" i="5" s="1"/>
  <c r="F464" i="5"/>
  <c r="AG464" i="5" s="1"/>
  <c r="AH464" i="5" s="1"/>
  <c r="AM435" i="5"/>
  <c r="AM422" i="5"/>
  <c r="AM439" i="5"/>
  <c r="AM436" i="5"/>
  <c r="AM438" i="5"/>
  <c r="AD421" i="5"/>
  <c r="R324" i="6"/>
  <c r="S324" i="6"/>
  <c r="I324" i="6"/>
  <c r="T324" i="6"/>
  <c r="N324" i="6"/>
  <c r="AD324" i="6" s="1"/>
  <c r="P324" i="6"/>
  <c r="R328" i="6"/>
  <c r="T328" i="6"/>
  <c r="P328" i="6"/>
  <c r="I328" i="6"/>
  <c r="S328" i="6"/>
  <c r="N328" i="6"/>
  <c r="AD328" i="6" s="1"/>
  <c r="T453" i="5"/>
  <c r="N453" i="5"/>
  <c r="I453" i="5"/>
  <c r="R453" i="5"/>
  <c r="S453" i="5"/>
  <c r="P453" i="5"/>
  <c r="O453" i="5"/>
  <c r="S173" i="4"/>
  <c r="I173" i="4"/>
  <c r="T173" i="4"/>
  <c r="P173" i="4"/>
  <c r="N173" i="4"/>
  <c r="AD173" i="4" s="1"/>
  <c r="R173" i="4"/>
  <c r="T474" i="5"/>
  <c r="P474" i="5"/>
  <c r="O474" i="5"/>
  <c r="N474" i="5"/>
  <c r="I474" i="5"/>
  <c r="R474" i="5"/>
  <c r="S474" i="5"/>
  <c r="AD249" i="5"/>
  <c r="AG394" i="5"/>
  <c r="AH394" i="5" s="1"/>
  <c r="F461" i="5"/>
  <c r="AG461" i="5" s="1"/>
  <c r="AH461" i="5" s="1"/>
  <c r="AM445" i="5"/>
  <c r="AM448" i="5"/>
  <c r="AK454" i="5"/>
  <c r="AL454" i="5" s="1"/>
  <c r="AM454" i="5" s="1"/>
  <c r="AI454" i="5"/>
  <c r="AJ454" i="5" s="1"/>
  <c r="AK472" i="5"/>
  <c r="AL472" i="5" s="1"/>
  <c r="AM472" i="5" s="1"/>
  <c r="AI472" i="5"/>
  <c r="AJ472" i="5" s="1"/>
  <c r="AK453" i="5"/>
  <c r="AL453" i="5" s="1"/>
  <c r="AM453" i="5" s="1"/>
  <c r="AI453" i="5"/>
  <c r="AJ453" i="5" s="1"/>
  <c r="I456" i="5"/>
  <c r="Y456" i="5" s="1"/>
  <c r="N456" i="5"/>
  <c r="S456" i="5"/>
  <c r="O456" i="5"/>
  <c r="P456" i="5"/>
  <c r="R456" i="5"/>
  <c r="T456" i="5"/>
  <c r="R314" i="6"/>
  <c r="S314" i="6"/>
  <c r="I314" i="6"/>
  <c r="N314" i="6"/>
  <c r="AD314" i="6" s="1"/>
  <c r="T314" i="6"/>
  <c r="P314" i="6"/>
  <c r="AI289" i="5"/>
  <c r="AJ289" i="5" s="1"/>
  <c r="P468" i="5"/>
  <c r="R468" i="5"/>
  <c r="I468" i="5"/>
  <c r="Y468" i="5" s="1"/>
  <c r="S468" i="5"/>
  <c r="T468" i="5"/>
  <c r="N468" i="5"/>
  <c r="O468" i="5"/>
  <c r="AK464" i="5"/>
  <c r="AL464" i="5" s="1"/>
  <c r="AM464" i="5" s="1"/>
  <c r="AI464" i="5"/>
  <c r="AJ464" i="5" s="1"/>
  <c r="AI442" i="5"/>
  <c r="AJ442" i="5" s="1"/>
  <c r="AK442" i="5"/>
  <c r="AL442" i="5" s="1"/>
  <c r="AM442" i="5" s="1"/>
  <c r="AI446" i="5"/>
  <c r="AJ446" i="5" s="1"/>
  <c r="AK446" i="5"/>
  <c r="AL446" i="5" s="1"/>
  <c r="AM446" i="5" s="1"/>
  <c r="AK440" i="5"/>
  <c r="AL440" i="5" s="1"/>
  <c r="AM440" i="5" s="1"/>
  <c r="AI440" i="5"/>
  <c r="AJ440" i="5" s="1"/>
  <c r="AK469" i="5"/>
  <c r="AL469" i="5" s="1"/>
  <c r="AM469" i="5" s="1"/>
  <c r="AI469" i="5"/>
  <c r="AJ469" i="5" s="1"/>
  <c r="AK443" i="5"/>
  <c r="AL443" i="5" s="1"/>
  <c r="AM443" i="5" s="1"/>
  <c r="AI443" i="5"/>
  <c r="AJ443" i="5"/>
  <c r="AK465" i="5"/>
  <c r="AL465" i="5" s="1"/>
  <c r="AM465" i="5" s="1"/>
  <c r="AI465" i="5"/>
  <c r="AJ465" i="5" s="1"/>
  <c r="AI455" i="5"/>
  <c r="AJ455" i="5" s="1"/>
  <c r="AK455" i="5"/>
  <c r="AL455" i="5" s="1"/>
  <c r="AM455" i="5" s="1"/>
  <c r="R331" i="6"/>
  <c r="N331" i="6"/>
  <c r="AD331" i="6" s="1"/>
  <c r="I331" i="6"/>
  <c r="T331" i="6"/>
  <c r="P331" i="6"/>
  <c r="S331" i="6"/>
  <c r="I443" i="5"/>
  <c r="Y443" i="5" s="1"/>
  <c r="R443" i="5"/>
  <c r="T443" i="5"/>
  <c r="N443" i="5"/>
  <c r="S443" i="5"/>
  <c r="P443" i="5"/>
  <c r="O443" i="5"/>
  <c r="O471" i="5"/>
  <c r="R471" i="5"/>
  <c r="P471" i="5"/>
  <c r="I471" i="5"/>
  <c r="S471" i="5"/>
  <c r="T471" i="5"/>
  <c r="N471" i="5"/>
  <c r="AD471" i="5" s="1"/>
  <c r="S425" i="5"/>
  <c r="N425" i="5"/>
  <c r="O425" i="5"/>
  <c r="P425" i="5"/>
  <c r="R425" i="5"/>
  <c r="T425" i="5"/>
  <c r="I425" i="5"/>
  <c r="T437" i="5"/>
  <c r="O437" i="5"/>
  <c r="P437" i="5"/>
  <c r="R437" i="5"/>
  <c r="I437" i="5"/>
  <c r="S437" i="5"/>
  <c r="N437" i="5"/>
  <c r="J181" i="4"/>
  <c r="N171" i="4"/>
  <c r="P171" i="4" s="1"/>
  <c r="R449" i="5"/>
  <c r="S449" i="5"/>
  <c r="I449" i="5"/>
  <c r="O449" i="5"/>
  <c r="T449" i="5"/>
  <c r="N449" i="5"/>
  <c r="P449" i="5"/>
  <c r="N447" i="5"/>
  <c r="P447" i="5"/>
  <c r="I447" i="5"/>
  <c r="R447" i="5"/>
  <c r="O447" i="5"/>
  <c r="S447" i="5"/>
  <c r="T447" i="5"/>
  <c r="N446" i="5"/>
  <c r="R446" i="5"/>
  <c r="I446" i="5"/>
  <c r="T446" i="5"/>
  <c r="O446" i="5"/>
  <c r="P446" i="5"/>
  <c r="S446" i="5"/>
  <c r="M38" i="3"/>
  <c r="L31" i="2"/>
  <c r="N38" i="3" s="1"/>
  <c r="AK424" i="5"/>
  <c r="AL424" i="5" s="1"/>
  <c r="AM424" i="5" s="1"/>
  <c r="AI424" i="5"/>
  <c r="AJ424" i="5" s="1"/>
  <c r="AK456" i="5"/>
  <c r="AL456" i="5" s="1"/>
  <c r="AM456" i="5" s="1"/>
  <c r="AI456" i="5"/>
  <c r="AJ456" i="5" s="1"/>
  <c r="AF423" i="5"/>
  <c r="AG406" i="5"/>
  <c r="AH406" i="5" s="1"/>
  <c r="F473" i="5"/>
  <c r="AG473" i="5" s="1"/>
  <c r="AH473" i="5" s="1"/>
  <c r="AK421" i="5"/>
  <c r="AL421" i="5" s="1"/>
  <c r="AM421" i="5" s="1"/>
  <c r="AI421" i="5"/>
  <c r="AJ421" i="5" s="1"/>
  <c r="AD362" i="5"/>
  <c r="AF431" i="5"/>
  <c r="N166" i="3"/>
  <c r="J58" i="16" s="1"/>
  <c r="AD465" i="5"/>
  <c r="Y421" i="5"/>
  <c r="AD459" i="5"/>
  <c r="AG247" i="6"/>
  <c r="AH247" i="6" s="1"/>
  <c r="F289" i="6"/>
  <c r="N281" i="6"/>
  <c r="AD281" i="6" s="1"/>
  <c r="S281" i="6"/>
  <c r="R281" i="6"/>
  <c r="P281" i="6"/>
  <c r="T281" i="6"/>
  <c r="I281" i="6"/>
  <c r="N288" i="6"/>
  <c r="AD288" i="6" s="1"/>
  <c r="S288" i="6"/>
  <c r="P288" i="6"/>
  <c r="T288" i="6"/>
  <c r="R288" i="6"/>
  <c r="I288" i="6"/>
  <c r="Y195" i="6"/>
  <c r="AA195" i="6" s="1"/>
  <c r="AF228" i="6"/>
  <c r="H270" i="6"/>
  <c r="S278" i="6"/>
  <c r="R278" i="6"/>
  <c r="N278" i="6"/>
  <c r="AD278" i="6" s="1"/>
  <c r="P278" i="6"/>
  <c r="T278" i="6"/>
  <c r="I278" i="6"/>
  <c r="N295" i="6"/>
  <c r="AD295" i="6" s="1"/>
  <c r="S295" i="6"/>
  <c r="P295" i="6"/>
  <c r="R295" i="6"/>
  <c r="I295" i="6"/>
  <c r="T295" i="6"/>
  <c r="AG257" i="6"/>
  <c r="AH257" i="6" s="1"/>
  <c r="F299" i="6"/>
  <c r="N285" i="6"/>
  <c r="AD285" i="6" s="1"/>
  <c r="P285" i="6"/>
  <c r="S285" i="6"/>
  <c r="R285" i="6"/>
  <c r="T285" i="6"/>
  <c r="I285" i="6"/>
  <c r="S272" i="6"/>
  <c r="R272" i="6"/>
  <c r="P272" i="6"/>
  <c r="N272" i="6"/>
  <c r="AD272" i="6" s="1"/>
  <c r="T272" i="6"/>
  <c r="I272" i="6"/>
  <c r="N299" i="6"/>
  <c r="AD299" i="6" s="1"/>
  <c r="S299" i="6"/>
  <c r="P299" i="6"/>
  <c r="R299" i="6"/>
  <c r="I299" i="6"/>
  <c r="T299" i="6"/>
  <c r="N292" i="6"/>
  <c r="AD292" i="6" s="1"/>
  <c r="S292" i="6"/>
  <c r="P292" i="6"/>
  <c r="R292" i="6"/>
  <c r="I292" i="6"/>
  <c r="T292" i="6"/>
  <c r="S273" i="6"/>
  <c r="I273" i="6"/>
  <c r="P273" i="6"/>
  <c r="N273" i="6"/>
  <c r="AD273" i="6" s="1"/>
  <c r="R273" i="6"/>
  <c r="T273" i="6"/>
  <c r="AF229" i="6"/>
  <c r="H271" i="6"/>
  <c r="AG242" i="6"/>
  <c r="AH242" i="6" s="1"/>
  <c r="F284" i="6"/>
  <c r="N286" i="6"/>
  <c r="AD286" i="6" s="1"/>
  <c r="S286" i="6"/>
  <c r="R286" i="6"/>
  <c r="P286" i="6"/>
  <c r="I286" i="6"/>
  <c r="T286" i="6"/>
  <c r="N298" i="6"/>
  <c r="AD298" i="6" s="1"/>
  <c r="S298" i="6"/>
  <c r="P298" i="6"/>
  <c r="I298" i="6"/>
  <c r="T298" i="6"/>
  <c r="R298" i="6"/>
  <c r="S274" i="6"/>
  <c r="R274" i="6"/>
  <c r="P274" i="6"/>
  <c r="N274" i="6"/>
  <c r="AD274" i="6" s="1"/>
  <c r="T274" i="6"/>
  <c r="I274" i="6"/>
  <c r="N289" i="6"/>
  <c r="AD289" i="6" s="1"/>
  <c r="S289" i="6"/>
  <c r="P289" i="6"/>
  <c r="T289" i="6"/>
  <c r="R289" i="6"/>
  <c r="I289" i="6"/>
  <c r="R276" i="6"/>
  <c r="N276" i="6"/>
  <c r="AD276" i="6" s="1"/>
  <c r="T276" i="6"/>
  <c r="P276" i="6"/>
  <c r="I276" i="6"/>
  <c r="S276" i="6"/>
  <c r="AA117" i="6"/>
  <c r="AC117" i="6" s="1"/>
  <c r="AG239" i="6"/>
  <c r="AH239" i="6" s="1"/>
  <c r="F281" i="6"/>
  <c r="AF253" i="6"/>
  <c r="H295" i="6"/>
  <c r="N283" i="6"/>
  <c r="AD283" i="6" s="1"/>
  <c r="R283" i="6"/>
  <c r="P283" i="6"/>
  <c r="S283" i="6"/>
  <c r="I283" i="6"/>
  <c r="T283" i="6"/>
  <c r="N291" i="6"/>
  <c r="AD291" i="6" s="1"/>
  <c r="S291" i="6"/>
  <c r="P291" i="6"/>
  <c r="I291" i="6"/>
  <c r="T291" i="6"/>
  <c r="R291" i="6"/>
  <c r="AF243" i="6"/>
  <c r="H285" i="6"/>
  <c r="AG233" i="6"/>
  <c r="AH233" i="6" s="1"/>
  <c r="F275" i="6"/>
  <c r="N290" i="6"/>
  <c r="AD290" i="6" s="1"/>
  <c r="S290" i="6"/>
  <c r="P290" i="6"/>
  <c r="I290" i="6"/>
  <c r="T290" i="6"/>
  <c r="R290" i="6"/>
  <c r="AF238" i="6"/>
  <c r="H280" i="6"/>
  <c r="N282" i="6"/>
  <c r="AD282" i="6" s="1"/>
  <c r="S282" i="6"/>
  <c r="R282" i="6"/>
  <c r="P282" i="6"/>
  <c r="I282" i="6"/>
  <c r="T282" i="6"/>
  <c r="N293" i="6"/>
  <c r="AD293" i="6" s="1"/>
  <c r="S293" i="6"/>
  <c r="P293" i="6"/>
  <c r="R293" i="6"/>
  <c r="T293" i="6"/>
  <c r="I293" i="6"/>
  <c r="N297" i="6"/>
  <c r="AD297" i="6" s="1"/>
  <c r="S297" i="6"/>
  <c r="P297" i="6"/>
  <c r="T297" i="6"/>
  <c r="R297" i="6"/>
  <c r="I297" i="6"/>
  <c r="P280" i="6"/>
  <c r="S280" i="6"/>
  <c r="R280" i="6"/>
  <c r="T280" i="6"/>
  <c r="I280" i="6"/>
  <c r="N280" i="6"/>
  <c r="AD280" i="6" s="1"/>
  <c r="AG235" i="6"/>
  <c r="AH235" i="6" s="1"/>
  <c r="F277" i="6"/>
  <c r="AF244" i="6"/>
  <c r="H286" i="6"/>
  <c r="H328" i="6" s="1"/>
  <c r="AF233" i="6"/>
  <c r="H275" i="6"/>
  <c r="Y275" i="6"/>
  <c r="S277" i="6"/>
  <c r="P277" i="6"/>
  <c r="I277" i="6"/>
  <c r="R277" i="6"/>
  <c r="N277" i="6"/>
  <c r="AD277" i="6" s="1"/>
  <c r="T277" i="6"/>
  <c r="N270" i="6"/>
  <c r="P270" i="6" s="1"/>
  <c r="AG231" i="6"/>
  <c r="AH231" i="6" s="1"/>
  <c r="F273" i="6"/>
  <c r="AF240" i="6"/>
  <c r="H282" i="6"/>
  <c r="AG245" i="6"/>
  <c r="AH245" i="6" s="1"/>
  <c r="F287" i="6"/>
  <c r="H249" i="6"/>
  <c r="AD335" i="5"/>
  <c r="AD396" i="5"/>
  <c r="AD327" i="5"/>
  <c r="AD392" i="5"/>
  <c r="AA92" i="4"/>
  <c r="AC92" i="4" s="1"/>
  <c r="K43" i="2"/>
  <c r="K40" i="2" s="1"/>
  <c r="K47" i="2" s="1"/>
  <c r="L16" i="7"/>
  <c r="J63" i="11"/>
  <c r="K37" i="10"/>
  <c r="M109" i="7" s="1"/>
  <c r="AA254" i="5"/>
  <c r="AB254" i="5"/>
  <c r="AG206" i="6"/>
  <c r="AH206" i="6" s="1"/>
  <c r="F248" i="6"/>
  <c r="AF205" i="6"/>
  <c r="H247" i="6"/>
  <c r="AG296" i="5"/>
  <c r="AH296" i="5" s="1"/>
  <c r="F363" i="5"/>
  <c r="AG326" i="5"/>
  <c r="AH326" i="5" s="1"/>
  <c r="F393" i="5"/>
  <c r="AF194" i="6"/>
  <c r="H236" i="6"/>
  <c r="AG308" i="5"/>
  <c r="AH308" i="5" s="1"/>
  <c r="F375" i="5"/>
  <c r="AG209" i="6"/>
  <c r="AH209" i="6" s="1"/>
  <c r="F251" i="6"/>
  <c r="AG188" i="6"/>
  <c r="AH188" i="6" s="1"/>
  <c r="F230" i="6"/>
  <c r="AF212" i="6"/>
  <c r="H254" i="6"/>
  <c r="AF204" i="6"/>
  <c r="H246" i="6"/>
  <c r="AK391" i="5"/>
  <c r="AL391" i="5" s="1"/>
  <c r="AM391" i="5" s="1"/>
  <c r="AI391" i="5"/>
  <c r="AJ391" i="5" s="1"/>
  <c r="AG208" i="6"/>
  <c r="AH208" i="6" s="1"/>
  <c r="F250" i="6"/>
  <c r="T155" i="4"/>
  <c r="R155" i="4"/>
  <c r="S155" i="4"/>
  <c r="N155" i="4"/>
  <c r="AD155" i="4" s="1"/>
  <c r="P155" i="4"/>
  <c r="I155" i="4"/>
  <c r="AI392" i="5"/>
  <c r="AJ392" i="5" s="1"/>
  <c r="AK392" i="5"/>
  <c r="AL392" i="5" s="1"/>
  <c r="AM392" i="5" s="1"/>
  <c r="AF299" i="5"/>
  <c r="H366" i="5"/>
  <c r="H433" i="5" s="1"/>
  <c r="AF331" i="5"/>
  <c r="Y331" i="5"/>
  <c r="AA331" i="5" s="1"/>
  <c r="H398" i="5"/>
  <c r="H465" i="5" s="1"/>
  <c r="AF465" i="5" s="1"/>
  <c r="R356" i="5"/>
  <c r="I356" i="5"/>
  <c r="Y356" i="5" s="1"/>
  <c r="S356" i="5"/>
  <c r="P356" i="5"/>
  <c r="T356" i="5"/>
  <c r="N356" i="5"/>
  <c r="O356" i="5"/>
  <c r="I187" i="6"/>
  <c r="Y187" i="6" s="1"/>
  <c r="J229" i="6"/>
  <c r="T391" i="5"/>
  <c r="I391" i="5"/>
  <c r="S391" i="5"/>
  <c r="P391" i="5"/>
  <c r="N391" i="5"/>
  <c r="R391" i="5"/>
  <c r="O391" i="5"/>
  <c r="AI333" i="5"/>
  <c r="AJ333" i="5" s="1"/>
  <c r="G400" i="5"/>
  <c r="G467" i="5" s="1"/>
  <c r="Y212" i="6"/>
  <c r="M88" i="3"/>
  <c r="M155" i="3"/>
  <c r="K17" i="11" s="1"/>
  <c r="J25" i="16" s="1"/>
  <c r="T379" i="5"/>
  <c r="N379" i="5"/>
  <c r="I379" i="5"/>
  <c r="R379" i="5"/>
  <c r="P379" i="5"/>
  <c r="S379" i="5"/>
  <c r="O379" i="5"/>
  <c r="AF301" i="5"/>
  <c r="H368" i="5"/>
  <c r="H435" i="5" s="1"/>
  <c r="AD384" i="5"/>
  <c r="AK389" i="5"/>
  <c r="AL389" i="5" s="1"/>
  <c r="AM389" i="5" s="1"/>
  <c r="AI389" i="5"/>
  <c r="AJ389" i="5" s="1"/>
  <c r="AF356" i="5"/>
  <c r="AF329" i="5"/>
  <c r="Y329" i="5"/>
  <c r="AA329" i="5" s="1"/>
  <c r="H396" i="5"/>
  <c r="H463" i="5" s="1"/>
  <c r="AG313" i="5"/>
  <c r="AH313" i="5" s="1"/>
  <c r="F380" i="5"/>
  <c r="AG294" i="5"/>
  <c r="AH294" i="5" s="1"/>
  <c r="F361" i="5"/>
  <c r="AG337" i="5"/>
  <c r="AH337" i="5" s="1"/>
  <c r="F404" i="5"/>
  <c r="AF311" i="5"/>
  <c r="H378" i="5"/>
  <c r="H445" i="5" s="1"/>
  <c r="AG336" i="5"/>
  <c r="AH336" i="5" s="1"/>
  <c r="F403" i="5"/>
  <c r="AF307" i="5"/>
  <c r="Y307" i="5"/>
  <c r="H374" i="5"/>
  <c r="H441" i="5" s="1"/>
  <c r="AF323" i="5"/>
  <c r="Y323" i="5"/>
  <c r="H390" i="5"/>
  <c r="H457" i="5" s="1"/>
  <c r="AF457" i="5" s="1"/>
  <c r="AG292" i="5"/>
  <c r="AH292" i="5" s="1"/>
  <c r="F359" i="5"/>
  <c r="AK397" i="5"/>
  <c r="AL397" i="5" s="1"/>
  <c r="AM397" i="5" s="1"/>
  <c r="AI397" i="5"/>
  <c r="AJ397" i="5" s="1"/>
  <c r="AI365" i="5"/>
  <c r="AJ365" i="5" s="1"/>
  <c r="AK365" i="5"/>
  <c r="AL365" i="5" s="1"/>
  <c r="AM365" i="5" s="1"/>
  <c r="AK399" i="5"/>
  <c r="AL399" i="5" s="1"/>
  <c r="AM399" i="5" s="1"/>
  <c r="AI399" i="5"/>
  <c r="AJ399" i="5" s="1"/>
  <c r="AG335" i="5"/>
  <c r="AH335" i="5" s="1"/>
  <c r="F402" i="5"/>
  <c r="AK379" i="5"/>
  <c r="AL379" i="5" s="1"/>
  <c r="AM379" i="5" s="1"/>
  <c r="AI379" i="5"/>
  <c r="AJ379" i="5" s="1"/>
  <c r="AF320" i="5"/>
  <c r="H387" i="5"/>
  <c r="H454" i="5" s="1"/>
  <c r="AF454" i="5" s="1"/>
  <c r="AK376" i="5"/>
  <c r="AL376" i="5" s="1"/>
  <c r="AM376" i="5" s="1"/>
  <c r="AI376" i="5"/>
  <c r="AJ376" i="5" s="1"/>
  <c r="AF313" i="5"/>
  <c r="H380" i="5"/>
  <c r="H447" i="5" s="1"/>
  <c r="AF447" i="5" s="1"/>
  <c r="AK388" i="5"/>
  <c r="AL388" i="5" s="1"/>
  <c r="AM388" i="5" s="1"/>
  <c r="AI388" i="5"/>
  <c r="AJ388" i="5" s="1"/>
  <c r="AI374" i="5"/>
  <c r="AJ374" i="5" s="1"/>
  <c r="AK374" i="5"/>
  <c r="AL374" i="5" s="1"/>
  <c r="AM374" i="5" s="1"/>
  <c r="AK299" i="5"/>
  <c r="AL299" i="5" s="1"/>
  <c r="G366" i="5"/>
  <c r="G433" i="5" s="1"/>
  <c r="AF310" i="5"/>
  <c r="H377" i="5"/>
  <c r="H444" i="5" s="1"/>
  <c r="AF444" i="5" s="1"/>
  <c r="AF215" i="6"/>
  <c r="H257" i="6"/>
  <c r="T363" i="5"/>
  <c r="R363" i="5"/>
  <c r="P363" i="5"/>
  <c r="N363" i="5"/>
  <c r="S363" i="5"/>
  <c r="I363" i="5"/>
  <c r="O363" i="5"/>
  <c r="AD363" i="5" s="1"/>
  <c r="T406" i="5"/>
  <c r="P406" i="5"/>
  <c r="I406" i="5"/>
  <c r="O406" i="5"/>
  <c r="R406" i="5"/>
  <c r="N406" i="5"/>
  <c r="S406" i="5"/>
  <c r="T404" i="5"/>
  <c r="P404" i="5"/>
  <c r="S404" i="5"/>
  <c r="O404" i="5"/>
  <c r="R404" i="5"/>
  <c r="I404" i="5"/>
  <c r="N404" i="5"/>
  <c r="T366" i="5"/>
  <c r="S366" i="5"/>
  <c r="P366" i="5"/>
  <c r="N366" i="5"/>
  <c r="I366" i="5"/>
  <c r="O366" i="5"/>
  <c r="R366" i="5"/>
  <c r="T370" i="5"/>
  <c r="I370" i="5"/>
  <c r="P370" i="5"/>
  <c r="N370" i="5"/>
  <c r="S370" i="5"/>
  <c r="R370" i="5"/>
  <c r="O370" i="5"/>
  <c r="T368" i="5"/>
  <c r="S368" i="5"/>
  <c r="P368" i="5"/>
  <c r="N368" i="5"/>
  <c r="I368" i="5"/>
  <c r="O368" i="5"/>
  <c r="R368" i="5"/>
  <c r="P248" i="6"/>
  <c r="S248" i="6"/>
  <c r="R248" i="6"/>
  <c r="I248" i="6"/>
  <c r="N248" i="6"/>
  <c r="AD248" i="6" s="1"/>
  <c r="T248" i="6"/>
  <c r="R399" i="5"/>
  <c r="S399" i="5"/>
  <c r="N399" i="5"/>
  <c r="I399" i="5"/>
  <c r="T399" i="5"/>
  <c r="O399" i="5"/>
  <c r="P399" i="5"/>
  <c r="P238" i="6"/>
  <c r="T238" i="6"/>
  <c r="N238" i="6"/>
  <c r="AD238" i="6" s="1"/>
  <c r="I238" i="6"/>
  <c r="Y238" i="6" s="1"/>
  <c r="S238" i="6"/>
  <c r="R238" i="6"/>
  <c r="Y203" i="6"/>
  <c r="AM407" i="5"/>
  <c r="AD394" i="5"/>
  <c r="AG317" i="5"/>
  <c r="AH317" i="5" s="1"/>
  <c r="F384" i="5"/>
  <c r="P240" i="6"/>
  <c r="S240" i="6"/>
  <c r="R240" i="6"/>
  <c r="T240" i="6"/>
  <c r="N240" i="6"/>
  <c r="AD240" i="6" s="1"/>
  <c r="I240" i="6"/>
  <c r="Y240" i="6" s="1"/>
  <c r="AG297" i="5"/>
  <c r="AH297" i="5" s="1"/>
  <c r="F364" i="5"/>
  <c r="AG302" i="5"/>
  <c r="AH302" i="5" s="1"/>
  <c r="F369" i="5"/>
  <c r="AG312" i="5"/>
  <c r="AH312" i="5" s="1"/>
  <c r="F379" i="5"/>
  <c r="AG334" i="5"/>
  <c r="AH334" i="5" s="1"/>
  <c r="F401" i="5"/>
  <c r="AF199" i="6"/>
  <c r="H241" i="6"/>
  <c r="AF291" i="5"/>
  <c r="H358" i="5"/>
  <c r="H425" i="5" s="1"/>
  <c r="AF425" i="5" s="1"/>
  <c r="AF210" i="6"/>
  <c r="H252" i="6"/>
  <c r="AG300" i="5"/>
  <c r="AH300" i="5" s="1"/>
  <c r="F367" i="5"/>
  <c r="AF330" i="5"/>
  <c r="H397" i="5"/>
  <c r="H464" i="5" s="1"/>
  <c r="AK393" i="5"/>
  <c r="AL393" i="5" s="1"/>
  <c r="AM393" i="5" s="1"/>
  <c r="AI393" i="5"/>
  <c r="AJ393" i="5" s="1"/>
  <c r="AK405" i="5"/>
  <c r="AL405" i="5" s="1"/>
  <c r="AM405" i="5" s="1"/>
  <c r="AI405" i="5"/>
  <c r="AJ405" i="5" s="1"/>
  <c r="AK395" i="5"/>
  <c r="AL395" i="5" s="1"/>
  <c r="AM395" i="5" s="1"/>
  <c r="AI395" i="5"/>
  <c r="AJ395" i="5" s="1"/>
  <c r="AK383" i="5"/>
  <c r="AL383" i="5" s="1"/>
  <c r="AM383" i="5" s="1"/>
  <c r="AI383" i="5"/>
  <c r="AJ383" i="5" s="1"/>
  <c r="AF300" i="5"/>
  <c r="H367" i="5"/>
  <c r="H434" i="5" s="1"/>
  <c r="AF434" i="5" s="1"/>
  <c r="AG299" i="5"/>
  <c r="AH299" i="5" s="1"/>
  <c r="F366" i="5"/>
  <c r="AI396" i="5"/>
  <c r="AJ396" i="5" s="1"/>
  <c r="AK396" i="5"/>
  <c r="AL396" i="5" s="1"/>
  <c r="AM396" i="5" s="1"/>
  <c r="AI384" i="5"/>
  <c r="AJ384" i="5" s="1"/>
  <c r="AK384" i="5"/>
  <c r="AL384" i="5" s="1"/>
  <c r="AM384" i="5" s="1"/>
  <c r="AF324" i="5"/>
  <c r="H391" i="5"/>
  <c r="H458" i="5" s="1"/>
  <c r="AF458" i="5" s="1"/>
  <c r="AF308" i="5"/>
  <c r="H375" i="5"/>
  <c r="H442" i="5" s="1"/>
  <c r="P235" i="6"/>
  <c r="R235" i="6"/>
  <c r="T235" i="6"/>
  <c r="N235" i="6"/>
  <c r="AD235" i="6" s="1"/>
  <c r="I235" i="6"/>
  <c r="S235" i="6"/>
  <c r="T373" i="5"/>
  <c r="R373" i="5"/>
  <c r="P373" i="5"/>
  <c r="N373" i="5"/>
  <c r="S373" i="5"/>
  <c r="I373" i="5"/>
  <c r="O373" i="5"/>
  <c r="P236" i="6"/>
  <c r="T236" i="6"/>
  <c r="R236" i="6"/>
  <c r="N236" i="6"/>
  <c r="AD236" i="6" s="1"/>
  <c r="I236" i="6"/>
  <c r="S236" i="6"/>
  <c r="T357" i="5"/>
  <c r="N357" i="5"/>
  <c r="I357" i="5"/>
  <c r="Y357" i="5" s="1"/>
  <c r="S357" i="5"/>
  <c r="P357" i="5"/>
  <c r="R357" i="5"/>
  <c r="O357" i="5"/>
  <c r="T365" i="5"/>
  <c r="I365" i="5"/>
  <c r="R365" i="5"/>
  <c r="P365" i="5"/>
  <c r="N365" i="5"/>
  <c r="S365" i="5"/>
  <c r="O365" i="5"/>
  <c r="R405" i="5"/>
  <c r="I405" i="5"/>
  <c r="Y405" i="5" s="1"/>
  <c r="S405" i="5"/>
  <c r="N405" i="5"/>
  <c r="O405" i="5"/>
  <c r="T405" i="5"/>
  <c r="P405" i="5"/>
  <c r="T388" i="5"/>
  <c r="P388" i="5"/>
  <c r="O388" i="5"/>
  <c r="R388" i="5"/>
  <c r="I388" i="5"/>
  <c r="N388" i="5"/>
  <c r="S388" i="5"/>
  <c r="AI364" i="5"/>
  <c r="AJ364" i="5" s="1"/>
  <c r="AK364" i="5"/>
  <c r="AL364" i="5" s="1"/>
  <c r="AM364" i="5" s="1"/>
  <c r="AK356" i="5"/>
  <c r="AL356" i="5" s="1"/>
  <c r="AM356" i="5" s="1"/>
  <c r="AI356" i="5"/>
  <c r="AJ356" i="5" s="1"/>
  <c r="AD257" i="5"/>
  <c r="P253" i="6"/>
  <c r="S253" i="6"/>
  <c r="R253" i="6"/>
  <c r="I253" i="6"/>
  <c r="Y253" i="6" s="1"/>
  <c r="N253" i="6"/>
  <c r="AD253" i="6" s="1"/>
  <c r="T253" i="6"/>
  <c r="AF111" i="4"/>
  <c r="Y111" i="4"/>
  <c r="AB111" i="4" s="1"/>
  <c r="H133" i="4"/>
  <c r="AM371" i="5"/>
  <c r="AD374" i="5"/>
  <c r="AF369" i="5"/>
  <c r="AM401" i="5"/>
  <c r="AM368" i="5"/>
  <c r="AK354" i="5"/>
  <c r="AL354" i="5" s="1"/>
  <c r="AM354" i="5" s="1"/>
  <c r="AI354" i="5"/>
  <c r="AJ354" i="5" s="1"/>
  <c r="AD359" i="5"/>
  <c r="AF355" i="5"/>
  <c r="AG298" i="5"/>
  <c r="AH298" i="5" s="1"/>
  <c r="F365" i="5"/>
  <c r="AF385" i="5"/>
  <c r="AF190" i="6"/>
  <c r="H232" i="6"/>
  <c r="AF213" i="6"/>
  <c r="H255" i="6"/>
  <c r="AG321" i="5"/>
  <c r="AH321" i="5" s="1"/>
  <c r="F388" i="5"/>
  <c r="AF335" i="5"/>
  <c r="Y335" i="5"/>
  <c r="H402" i="5"/>
  <c r="H469" i="5" s="1"/>
  <c r="AF469" i="5" s="1"/>
  <c r="T361" i="5"/>
  <c r="S361" i="5"/>
  <c r="R361" i="5"/>
  <c r="P361" i="5"/>
  <c r="I361" i="5"/>
  <c r="N361" i="5"/>
  <c r="O361" i="5"/>
  <c r="AG290" i="5"/>
  <c r="AH290" i="5" s="1"/>
  <c r="F357" i="5"/>
  <c r="AG195" i="6"/>
  <c r="AH195" i="6" s="1"/>
  <c r="F237" i="6"/>
  <c r="AF203" i="6"/>
  <c r="H245" i="6"/>
  <c r="AF113" i="4"/>
  <c r="Y113" i="4"/>
  <c r="AB113" i="4" s="1"/>
  <c r="H135" i="4"/>
  <c r="AF189" i="6"/>
  <c r="H231" i="6"/>
  <c r="AF292" i="5"/>
  <c r="Y292" i="5"/>
  <c r="AA292" i="5" s="1"/>
  <c r="H359" i="5"/>
  <c r="H426" i="5" s="1"/>
  <c r="AG319" i="5"/>
  <c r="AH319" i="5" s="1"/>
  <c r="F386" i="5"/>
  <c r="AF336" i="5"/>
  <c r="H403" i="5"/>
  <c r="H470" i="5" s="1"/>
  <c r="AK373" i="5"/>
  <c r="AL373" i="5" s="1"/>
  <c r="AM373" i="5" s="1"/>
  <c r="AI373" i="5"/>
  <c r="AJ373" i="5" s="1"/>
  <c r="AF316" i="5"/>
  <c r="H383" i="5"/>
  <c r="H450" i="5" s="1"/>
  <c r="AK402" i="5"/>
  <c r="AL402" i="5" s="1"/>
  <c r="AM402" i="5" s="1"/>
  <c r="AI402" i="5"/>
  <c r="AJ402" i="5" s="1"/>
  <c r="AG331" i="5"/>
  <c r="AH331" i="5" s="1"/>
  <c r="F398" i="5"/>
  <c r="AI318" i="5"/>
  <c r="AJ318" i="5" s="1"/>
  <c r="G385" i="5"/>
  <c r="G452" i="5" s="1"/>
  <c r="AI337" i="5"/>
  <c r="AJ337" i="5" s="1"/>
  <c r="G404" i="5"/>
  <c r="G471" i="5" s="1"/>
  <c r="AG194" i="6"/>
  <c r="AH194" i="6" s="1"/>
  <c r="F236" i="6"/>
  <c r="P239" i="6"/>
  <c r="I239" i="6"/>
  <c r="S239" i="6"/>
  <c r="R239" i="6"/>
  <c r="T239" i="6"/>
  <c r="N239" i="6"/>
  <c r="AD239" i="6" s="1"/>
  <c r="T376" i="5"/>
  <c r="I376" i="5"/>
  <c r="P376" i="5"/>
  <c r="N376" i="5"/>
  <c r="S376" i="5"/>
  <c r="R376" i="5"/>
  <c r="O376" i="5"/>
  <c r="R403" i="5"/>
  <c r="I403" i="5"/>
  <c r="S403" i="5"/>
  <c r="N403" i="5"/>
  <c r="O403" i="5"/>
  <c r="T403" i="5"/>
  <c r="P403" i="5"/>
  <c r="N286" i="5"/>
  <c r="J353" i="5"/>
  <c r="J420" i="5" s="1"/>
  <c r="P246" i="6"/>
  <c r="R246" i="6"/>
  <c r="S246" i="6"/>
  <c r="I246" i="6"/>
  <c r="N246" i="6"/>
  <c r="AD246" i="6" s="1"/>
  <c r="T246" i="6"/>
  <c r="T375" i="5"/>
  <c r="I375" i="5"/>
  <c r="S375" i="5"/>
  <c r="P375" i="5"/>
  <c r="N375" i="5"/>
  <c r="R375" i="5"/>
  <c r="O375" i="5"/>
  <c r="P83" i="4"/>
  <c r="AD237" i="5"/>
  <c r="AD231" i="5"/>
  <c r="AD245" i="5"/>
  <c r="AK357" i="5"/>
  <c r="AL357" i="5" s="1"/>
  <c r="AM357" i="5" s="1"/>
  <c r="AI357" i="5"/>
  <c r="AJ357" i="5" s="1"/>
  <c r="AF131" i="4"/>
  <c r="Y131" i="4"/>
  <c r="H153" i="4"/>
  <c r="H175" i="4" s="1"/>
  <c r="AD395" i="5"/>
  <c r="AM363" i="5"/>
  <c r="AM367" i="5"/>
  <c r="AK362" i="5"/>
  <c r="AL362" i="5" s="1"/>
  <c r="AM362" i="5" s="1"/>
  <c r="AI362" i="5"/>
  <c r="AJ362" i="5" s="1"/>
  <c r="AD402" i="5"/>
  <c r="AF294" i="5"/>
  <c r="H361" i="5"/>
  <c r="H428" i="5" s="1"/>
  <c r="AF428" i="5" s="1"/>
  <c r="AF327" i="5"/>
  <c r="Y327" i="5"/>
  <c r="AA327" i="5" s="1"/>
  <c r="H394" i="5"/>
  <c r="H461" i="5" s="1"/>
  <c r="AF461" i="5" s="1"/>
  <c r="AF303" i="5"/>
  <c r="H370" i="5"/>
  <c r="H437" i="5" s="1"/>
  <c r="AF319" i="5"/>
  <c r="H386" i="5"/>
  <c r="H453" i="5" s="1"/>
  <c r="AF453" i="5" s="1"/>
  <c r="AG329" i="5"/>
  <c r="AH329" i="5" s="1"/>
  <c r="F396" i="5"/>
  <c r="T385" i="5"/>
  <c r="S385" i="5"/>
  <c r="R385" i="5"/>
  <c r="N385" i="5"/>
  <c r="P385" i="5"/>
  <c r="I385" i="5"/>
  <c r="Y385" i="5" s="1"/>
  <c r="O385" i="5"/>
  <c r="AD385" i="5" s="1"/>
  <c r="AG318" i="5"/>
  <c r="AH318" i="5" s="1"/>
  <c r="F385" i="5"/>
  <c r="AG328" i="5"/>
  <c r="AH328" i="5" s="1"/>
  <c r="F395" i="5"/>
  <c r="AF339" i="5"/>
  <c r="H406" i="5"/>
  <c r="H473" i="5" s="1"/>
  <c r="AF473" i="5" s="1"/>
  <c r="AG324" i="5"/>
  <c r="AH324" i="5" s="1"/>
  <c r="F391" i="5"/>
  <c r="AG340" i="5"/>
  <c r="AH340" i="5" s="1"/>
  <c r="F407" i="5"/>
  <c r="AF314" i="5"/>
  <c r="H381" i="5"/>
  <c r="H448" i="5" s="1"/>
  <c r="AF448" i="5" s="1"/>
  <c r="AF340" i="5"/>
  <c r="H407" i="5"/>
  <c r="H474" i="5" s="1"/>
  <c r="AF474" i="5" s="1"/>
  <c r="AG192" i="6"/>
  <c r="AH192" i="6" s="1"/>
  <c r="F234" i="6"/>
  <c r="AF108" i="4"/>
  <c r="Y108" i="4"/>
  <c r="H130" i="4"/>
  <c r="AG291" i="5"/>
  <c r="AH291" i="5" s="1"/>
  <c r="F358" i="5"/>
  <c r="AG287" i="5"/>
  <c r="AH287" i="5" s="1"/>
  <c r="F354" i="5"/>
  <c r="AG295" i="5"/>
  <c r="AH295" i="5" s="1"/>
  <c r="F362" i="5"/>
  <c r="AG212" i="6"/>
  <c r="AH212" i="6" s="1"/>
  <c r="F254" i="6"/>
  <c r="H128" i="4"/>
  <c r="AF106" i="4"/>
  <c r="Y106" i="4"/>
  <c r="AK394" i="5"/>
  <c r="AL394" i="5" s="1"/>
  <c r="AM394" i="5" s="1"/>
  <c r="AI394" i="5"/>
  <c r="AJ394" i="5" s="1"/>
  <c r="P243" i="6"/>
  <c r="T243" i="6"/>
  <c r="N243" i="6"/>
  <c r="AD243" i="6" s="1"/>
  <c r="R243" i="6"/>
  <c r="I243" i="6"/>
  <c r="Y243" i="6" s="1"/>
  <c r="S243" i="6"/>
  <c r="T371" i="5"/>
  <c r="S371" i="5"/>
  <c r="R371" i="5"/>
  <c r="N371" i="5"/>
  <c r="P371" i="5"/>
  <c r="I371" i="5"/>
  <c r="O371" i="5"/>
  <c r="P230" i="6"/>
  <c r="R230" i="6"/>
  <c r="T230" i="6"/>
  <c r="S230" i="6"/>
  <c r="N230" i="6"/>
  <c r="AD230" i="6" s="1"/>
  <c r="I230" i="6"/>
  <c r="P257" i="6"/>
  <c r="S257" i="6"/>
  <c r="R257" i="6"/>
  <c r="I257" i="6"/>
  <c r="N257" i="6"/>
  <c r="AD257" i="6" s="1"/>
  <c r="T257" i="6"/>
  <c r="T367" i="5"/>
  <c r="R367" i="5"/>
  <c r="P367" i="5"/>
  <c r="N367" i="5"/>
  <c r="I367" i="5"/>
  <c r="S367" i="5"/>
  <c r="O367" i="5"/>
  <c r="P250" i="6"/>
  <c r="S250" i="6"/>
  <c r="R250" i="6"/>
  <c r="I250" i="6"/>
  <c r="N250" i="6"/>
  <c r="AD250" i="6" s="1"/>
  <c r="T250" i="6"/>
  <c r="T378" i="5"/>
  <c r="I378" i="5"/>
  <c r="N378" i="5"/>
  <c r="S378" i="5"/>
  <c r="P378" i="5"/>
  <c r="R378" i="5"/>
  <c r="O378" i="5"/>
  <c r="P150" i="4"/>
  <c r="T150" i="4"/>
  <c r="R150" i="4"/>
  <c r="S150" i="4"/>
  <c r="N150" i="4"/>
  <c r="AD150" i="4" s="1"/>
  <c r="I150" i="4"/>
  <c r="P231" i="6"/>
  <c r="T231" i="6"/>
  <c r="N231" i="6"/>
  <c r="AD231" i="6" s="1"/>
  <c r="I231" i="6"/>
  <c r="S231" i="6"/>
  <c r="R231" i="6"/>
  <c r="K39" i="2"/>
  <c r="AF112" i="4"/>
  <c r="Y112" i="4"/>
  <c r="AB112" i="4" s="1"/>
  <c r="H134" i="4"/>
  <c r="AF376" i="5"/>
  <c r="Y376" i="5"/>
  <c r="AF405" i="5"/>
  <c r="AF206" i="6"/>
  <c r="H248" i="6"/>
  <c r="AM361" i="5"/>
  <c r="AD400" i="5"/>
  <c r="AD354" i="5"/>
  <c r="K45" i="13"/>
  <c r="AM358" i="5"/>
  <c r="AD398" i="5"/>
  <c r="AF384" i="5"/>
  <c r="Y384" i="5"/>
  <c r="P244" i="6"/>
  <c r="S244" i="6"/>
  <c r="R244" i="6"/>
  <c r="T244" i="6"/>
  <c r="I244" i="6"/>
  <c r="Y244" i="6" s="1"/>
  <c r="N244" i="6"/>
  <c r="AD244" i="6" s="1"/>
  <c r="T393" i="5"/>
  <c r="R393" i="5"/>
  <c r="P393" i="5"/>
  <c r="N393" i="5"/>
  <c r="I393" i="5"/>
  <c r="S393" i="5"/>
  <c r="O393" i="5"/>
  <c r="AD393" i="5" s="1"/>
  <c r="AG214" i="6"/>
  <c r="AH214" i="6" s="1"/>
  <c r="F256" i="6"/>
  <c r="P256" i="6"/>
  <c r="S256" i="6"/>
  <c r="R256" i="6"/>
  <c r="I256" i="6"/>
  <c r="N256" i="6"/>
  <c r="AD256" i="6" s="1"/>
  <c r="T256" i="6"/>
  <c r="R401" i="5"/>
  <c r="I401" i="5"/>
  <c r="S401" i="5"/>
  <c r="N401" i="5"/>
  <c r="P401" i="5"/>
  <c r="O401" i="5"/>
  <c r="T401" i="5"/>
  <c r="AF295" i="5"/>
  <c r="Y295" i="5"/>
  <c r="AB295" i="5" s="1"/>
  <c r="H362" i="5"/>
  <c r="H429" i="5" s="1"/>
  <c r="AG301" i="5"/>
  <c r="AH301" i="5" s="1"/>
  <c r="F368" i="5"/>
  <c r="AG304" i="5"/>
  <c r="AH304" i="5" s="1"/>
  <c r="F371" i="5"/>
  <c r="AG201" i="6"/>
  <c r="AH201" i="6" s="1"/>
  <c r="F243" i="6"/>
  <c r="AG187" i="6"/>
  <c r="AH187" i="6" s="1"/>
  <c r="F229" i="6"/>
  <c r="AG199" i="6"/>
  <c r="AH199" i="6" s="1"/>
  <c r="F241" i="6"/>
  <c r="AF197" i="6"/>
  <c r="H239" i="6"/>
  <c r="AG316" i="5"/>
  <c r="AH316" i="5" s="1"/>
  <c r="F383" i="5"/>
  <c r="AG332" i="5"/>
  <c r="AH332" i="5" s="1"/>
  <c r="F399" i="5"/>
  <c r="AG196" i="6"/>
  <c r="AH196" i="6" s="1"/>
  <c r="F238" i="6"/>
  <c r="AF312" i="5"/>
  <c r="H379" i="5"/>
  <c r="H446" i="5" s="1"/>
  <c r="AF304" i="5"/>
  <c r="H371" i="5"/>
  <c r="H438" i="5" s="1"/>
  <c r="AF438" i="5" s="1"/>
  <c r="AG311" i="5"/>
  <c r="AH311" i="5" s="1"/>
  <c r="F378" i="5"/>
  <c r="AF214" i="6"/>
  <c r="H256" i="6"/>
  <c r="AK380" i="5"/>
  <c r="AL380" i="5" s="1"/>
  <c r="AM380" i="5" s="1"/>
  <c r="AI380" i="5"/>
  <c r="AJ380" i="5" s="1"/>
  <c r="AK398" i="5"/>
  <c r="AL398" i="5" s="1"/>
  <c r="AM398" i="5" s="1"/>
  <c r="AI398" i="5"/>
  <c r="AJ398" i="5" s="1"/>
  <c r="AG303" i="5"/>
  <c r="AH303" i="5" s="1"/>
  <c r="F370" i="5"/>
  <c r="AF333" i="5"/>
  <c r="Y333" i="5"/>
  <c r="AB333" i="5" s="1"/>
  <c r="H400" i="5"/>
  <c r="H467" i="5" s="1"/>
  <c r="AF208" i="6"/>
  <c r="H250" i="6"/>
  <c r="P232" i="6"/>
  <c r="T232" i="6"/>
  <c r="N232" i="6"/>
  <c r="AD232" i="6" s="1"/>
  <c r="I232" i="6"/>
  <c r="S232" i="6"/>
  <c r="R232" i="6"/>
  <c r="P247" i="6"/>
  <c r="S247" i="6"/>
  <c r="R247" i="6"/>
  <c r="N247" i="6"/>
  <c r="AD247" i="6" s="1"/>
  <c r="T247" i="6"/>
  <c r="I247" i="6"/>
  <c r="T386" i="5"/>
  <c r="P386" i="5"/>
  <c r="R386" i="5"/>
  <c r="I386" i="5"/>
  <c r="O386" i="5"/>
  <c r="N386" i="5"/>
  <c r="S386" i="5"/>
  <c r="P234" i="6"/>
  <c r="I234" i="6"/>
  <c r="N234" i="6"/>
  <c r="AD234" i="6" s="1"/>
  <c r="S234" i="6"/>
  <c r="R234" i="6"/>
  <c r="T234" i="6"/>
  <c r="T372" i="5"/>
  <c r="S372" i="5"/>
  <c r="N372" i="5"/>
  <c r="P372" i="5"/>
  <c r="I372" i="5"/>
  <c r="R372" i="5"/>
  <c r="O372" i="5"/>
  <c r="P382" i="5"/>
  <c r="N382" i="5"/>
  <c r="S382" i="5"/>
  <c r="I382" i="5"/>
  <c r="R382" i="5"/>
  <c r="O382" i="5"/>
  <c r="T382" i="5"/>
  <c r="T381" i="5"/>
  <c r="S381" i="5"/>
  <c r="R381" i="5"/>
  <c r="P381" i="5"/>
  <c r="I381" i="5"/>
  <c r="N381" i="5"/>
  <c r="O381" i="5"/>
  <c r="T380" i="5"/>
  <c r="N380" i="5"/>
  <c r="S380" i="5"/>
  <c r="I380" i="5"/>
  <c r="P380" i="5"/>
  <c r="O380" i="5"/>
  <c r="R380" i="5"/>
  <c r="AK336" i="5"/>
  <c r="AL336" i="5" s="1"/>
  <c r="AM336" i="5" s="1"/>
  <c r="G403" i="5"/>
  <c r="G470" i="5" s="1"/>
  <c r="AF200" i="6"/>
  <c r="H242" i="6"/>
  <c r="Y242" i="6" s="1"/>
  <c r="AF296" i="5"/>
  <c r="H363" i="5"/>
  <c r="H430" i="5" s="1"/>
  <c r="AF430" i="5" s="1"/>
  <c r="AM378" i="5"/>
  <c r="AM372" i="5"/>
  <c r="AF401" i="5"/>
  <c r="Y401" i="5"/>
  <c r="AM381" i="5"/>
  <c r="AF129" i="4"/>
  <c r="Y129" i="4"/>
  <c r="H151" i="4"/>
  <c r="H173" i="4" s="1"/>
  <c r="AG310" i="5"/>
  <c r="AH310" i="5" s="1"/>
  <c r="F377" i="5"/>
  <c r="AI359" i="5"/>
  <c r="AJ359" i="5" s="1"/>
  <c r="AK359" i="5"/>
  <c r="AL359" i="5" s="1"/>
  <c r="AM359" i="5" s="1"/>
  <c r="AG323" i="5"/>
  <c r="AH323" i="5" s="1"/>
  <c r="F390" i="5"/>
  <c r="AF209" i="6"/>
  <c r="H251" i="6"/>
  <c r="AI360" i="5"/>
  <c r="AJ360" i="5" s="1"/>
  <c r="AK360" i="5"/>
  <c r="AL360" i="5" s="1"/>
  <c r="AM360" i="5" s="1"/>
  <c r="AF305" i="5"/>
  <c r="H372" i="5"/>
  <c r="H439" i="5" s="1"/>
  <c r="AF325" i="5"/>
  <c r="Y325" i="5"/>
  <c r="AA325" i="5" s="1"/>
  <c r="H392" i="5"/>
  <c r="H459" i="5" s="1"/>
  <c r="AK386" i="5"/>
  <c r="AL386" i="5" s="1"/>
  <c r="AM386" i="5" s="1"/>
  <c r="AI386" i="5"/>
  <c r="AJ386" i="5" s="1"/>
  <c r="T389" i="5"/>
  <c r="P389" i="5"/>
  <c r="N389" i="5"/>
  <c r="S389" i="5"/>
  <c r="R389" i="5"/>
  <c r="I389" i="5"/>
  <c r="Y389" i="5" s="1"/>
  <c r="AB389" i="5" s="1"/>
  <c r="O389" i="5"/>
  <c r="AF315" i="5"/>
  <c r="H382" i="5"/>
  <c r="H449" i="5" s="1"/>
  <c r="AF192" i="6"/>
  <c r="H234" i="6"/>
  <c r="P251" i="6"/>
  <c r="S251" i="6"/>
  <c r="R251" i="6"/>
  <c r="I251" i="6"/>
  <c r="N251" i="6"/>
  <c r="AD251" i="6" s="1"/>
  <c r="T251" i="6"/>
  <c r="R397" i="5"/>
  <c r="S397" i="5"/>
  <c r="N397" i="5"/>
  <c r="I397" i="5"/>
  <c r="P397" i="5"/>
  <c r="O397" i="5"/>
  <c r="T397" i="5"/>
  <c r="N228" i="6"/>
  <c r="T364" i="5"/>
  <c r="S364" i="5"/>
  <c r="P364" i="5"/>
  <c r="I364" i="5"/>
  <c r="Y364" i="5" s="1"/>
  <c r="N364" i="5"/>
  <c r="O364" i="5"/>
  <c r="R364" i="5"/>
  <c r="AF193" i="6"/>
  <c r="H235" i="6"/>
  <c r="T241" i="6"/>
  <c r="R241" i="6"/>
  <c r="S241" i="6"/>
  <c r="I241" i="6"/>
  <c r="N241" i="6"/>
  <c r="AD241" i="6" s="1"/>
  <c r="P241" i="6"/>
  <c r="P249" i="6"/>
  <c r="R249" i="6"/>
  <c r="S249" i="6"/>
  <c r="T249" i="6"/>
  <c r="I249" i="6"/>
  <c r="Y249" i="6" s="1"/>
  <c r="N249" i="6"/>
  <c r="AD249" i="6" s="1"/>
  <c r="T383" i="5"/>
  <c r="S383" i="5"/>
  <c r="R383" i="5"/>
  <c r="P383" i="5"/>
  <c r="I383" i="5"/>
  <c r="N383" i="5"/>
  <c r="O383" i="5"/>
  <c r="AF389" i="5"/>
  <c r="AF354" i="5"/>
  <c r="Y354" i="5"/>
  <c r="AF364" i="5"/>
  <c r="AM406" i="5"/>
  <c r="AM369" i="5"/>
  <c r="AK387" i="5"/>
  <c r="AL387" i="5" s="1"/>
  <c r="AM387" i="5" s="1"/>
  <c r="AI387" i="5"/>
  <c r="AJ387" i="5" s="1"/>
  <c r="AG204" i="6"/>
  <c r="AH204" i="6" s="1"/>
  <c r="F246" i="6"/>
  <c r="AG286" i="5"/>
  <c r="F353" i="5"/>
  <c r="AG325" i="5"/>
  <c r="AH325" i="5" s="1"/>
  <c r="F392" i="5"/>
  <c r="AG198" i="6"/>
  <c r="AH198" i="6" s="1"/>
  <c r="F240" i="6"/>
  <c r="AG202" i="6"/>
  <c r="AH202" i="6" s="1"/>
  <c r="F244" i="6"/>
  <c r="AG305" i="5"/>
  <c r="AH305" i="5" s="1"/>
  <c r="F372" i="5"/>
  <c r="AG309" i="5"/>
  <c r="AH309" i="5" s="1"/>
  <c r="F376" i="5"/>
  <c r="T369" i="5"/>
  <c r="I369" i="5"/>
  <c r="Y369" i="5" s="1"/>
  <c r="S369" i="5"/>
  <c r="P369" i="5"/>
  <c r="N369" i="5"/>
  <c r="R369" i="5"/>
  <c r="O369" i="5"/>
  <c r="AG333" i="5"/>
  <c r="AH333" i="5" s="1"/>
  <c r="F400" i="5"/>
  <c r="AG320" i="5"/>
  <c r="AH320" i="5" s="1"/>
  <c r="F387" i="5"/>
  <c r="AG288" i="5"/>
  <c r="AH288" i="5" s="1"/>
  <c r="F355" i="5"/>
  <c r="AG211" i="6"/>
  <c r="AH211" i="6" s="1"/>
  <c r="F253" i="6"/>
  <c r="AF188" i="6"/>
  <c r="H230" i="6"/>
  <c r="AF298" i="5"/>
  <c r="H365" i="5"/>
  <c r="H432" i="5" s="1"/>
  <c r="AF432" i="5" s="1"/>
  <c r="AF328" i="5"/>
  <c r="Y328" i="5"/>
  <c r="AA328" i="5" s="1"/>
  <c r="H395" i="5"/>
  <c r="H462" i="5" s="1"/>
  <c r="AK375" i="5"/>
  <c r="AL375" i="5" s="1"/>
  <c r="AM375" i="5" s="1"/>
  <c r="AI375" i="5"/>
  <c r="AJ375" i="5" s="1"/>
  <c r="AK377" i="5"/>
  <c r="AL377" i="5" s="1"/>
  <c r="AM377" i="5" s="1"/>
  <c r="AI377" i="5"/>
  <c r="AJ377" i="5" s="1"/>
  <c r="AG315" i="5"/>
  <c r="AH315" i="5" s="1"/>
  <c r="F382" i="5"/>
  <c r="AG322" i="5"/>
  <c r="AH322" i="5" s="1"/>
  <c r="F389" i="5"/>
  <c r="AG293" i="5"/>
  <c r="AH293" i="5" s="1"/>
  <c r="F360" i="5"/>
  <c r="AK390" i="5"/>
  <c r="AL390" i="5" s="1"/>
  <c r="AM390" i="5" s="1"/>
  <c r="AI390" i="5"/>
  <c r="AJ390" i="5" s="1"/>
  <c r="AF332" i="5"/>
  <c r="H399" i="5"/>
  <c r="H466" i="5" s="1"/>
  <c r="AF466" i="5" s="1"/>
  <c r="AF326" i="5"/>
  <c r="H393" i="5"/>
  <c r="H460" i="5" s="1"/>
  <c r="AI303" i="5"/>
  <c r="AJ303" i="5" s="1"/>
  <c r="G370" i="5"/>
  <c r="G437" i="5" s="1"/>
  <c r="AG207" i="6"/>
  <c r="AH207" i="6" s="1"/>
  <c r="F249" i="6"/>
  <c r="P255" i="6"/>
  <c r="S255" i="6"/>
  <c r="R255" i="6"/>
  <c r="N255" i="6"/>
  <c r="AD255" i="6" s="1"/>
  <c r="T255" i="6"/>
  <c r="I255" i="6"/>
  <c r="R358" i="5"/>
  <c r="P358" i="5"/>
  <c r="I358" i="5"/>
  <c r="N358" i="5"/>
  <c r="T358" i="5"/>
  <c r="S358" i="5"/>
  <c r="O358" i="5"/>
  <c r="P151" i="4"/>
  <c r="I151" i="4"/>
  <c r="T151" i="4"/>
  <c r="N151" i="4"/>
  <c r="AD151" i="4" s="1"/>
  <c r="S151" i="4"/>
  <c r="R151" i="4"/>
  <c r="T377" i="5"/>
  <c r="I377" i="5"/>
  <c r="R377" i="5"/>
  <c r="P377" i="5"/>
  <c r="N377" i="5"/>
  <c r="S377" i="5"/>
  <c r="O377" i="5"/>
  <c r="N149" i="4"/>
  <c r="P149" i="4" s="1"/>
  <c r="J159" i="4"/>
  <c r="K56" i="14" s="1"/>
  <c r="R407" i="5"/>
  <c r="I407" i="5"/>
  <c r="S407" i="5"/>
  <c r="N407" i="5"/>
  <c r="O407" i="5"/>
  <c r="T407" i="5"/>
  <c r="P407" i="5"/>
  <c r="AD225" i="5"/>
  <c r="AD243" i="5"/>
  <c r="T387" i="5"/>
  <c r="I387" i="5"/>
  <c r="S387" i="5"/>
  <c r="R387" i="5"/>
  <c r="P387" i="5"/>
  <c r="N387" i="5"/>
  <c r="O387" i="5"/>
  <c r="T355" i="5"/>
  <c r="N355" i="5"/>
  <c r="I355" i="5"/>
  <c r="Y355" i="5" s="1"/>
  <c r="S355" i="5"/>
  <c r="P355" i="5"/>
  <c r="R355" i="5"/>
  <c r="O355" i="5"/>
  <c r="AD355" i="5" s="1"/>
  <c r="Y210" i="6"/>
  <c r="AF353" i="5"/>
  <c r="AM355" i="5"/>
  <c r="AF357" i="5"/>
  <c r="AF337" i="5"/>
  <c r="H404" i="5"/>
  <c r="H471" i="5" s="1"/>
  <c r="K63" i="11"/>
  <c r="AF293" i="5"/>
  <c r="Y293" i="5"/>
  <c r="AA293" i="5" s="1"/>
  <c r="H360" i="5"/>
  <c r="H427" i="5" s="1"/>
  <c r="AF373" i="5"/>
  <c r="Y373" i="5"/>
  <c r="AF195" i="6"/>
  <c r="H237" i="6"/>
  <c r="AF136" i="4"/>
  <c r="H158" i="4"/>
  <c r="H180" i="4" s="1"/>
  <c r="Y136" i="4"/>
  <c r="AF388" i="5"/>
  <c r="Y388" i="5"/>
  <c r="AF110" i="4"/>
  <c r="Y110" i="4"/>
  <c r="H132" i="4"/>
  <c r="AM382" i="5"/>
  <c r="M29" i="7"/>
  <c r="M28" i="7"/>
  <c r="M37" i="3"/>
  <c r="M36" i="3"/>
  <c r="K19" i="3"/>
  <c r="K20" i="3"/>
  <c r="K21" i="3"/>
  <c r="I26" i="10"/>
  <c r="H40" i="10"/>
  <c r="H42" i="10" s="1"/>
  <c r="H24" i="11" s="1"/>
  <c r="G29" i="16" s="1"/>
  <c r="J108" i="7"/>
  <c r="J113" i="7" s="1"/>
  <c r="G48" i="10"/>
  <c r="H13" i="10" s="1"/>
  <c r="H48" i="10" s="1"/>
  <c r="I13" i="10" s="1"/>
  <c r="I48" i="10" s="1"/>
  <c r="J13" i="10" s="1"/>
  <c r="F50" i="10"/>
  <c r="G15" i="10" s="1"/>
  <c r="F49" i="10"/>
  <c r="G14" i="10" s="1"/>
  <c r="F42" i="10"/>
  <c r="F24" i="11" s="1"/>
  <c r="F27" i="11" s="1"/>
  <c r="F29" i="11" s="1"/>
  <c r="F42" i="11" s="1"/>
  <c r="H51" i="10"/>
  <c r="I16" i="10" s="1"/>
  <c r="I51" i="10" s="1"/>
  <c r="J16" i="10" s="1"/>
  <c r="I40" i="10"/>
  <c r="I42" i="10" s="1"/>
  <c r="I24" i="11" s="1"/>
  <c r="H29" i="16" s="1"/>
  <c r="G40" i="10"/>
  <c r="G42" i="10" s="1"/>
  <c r="G24" i="11" s="1"/>
  <c r="AG106" i="4"/>
  <c r="AH106" i="4" s="1"/>
  <c r="F128" i="4"/>
  <c r="L15" i="3"/>
  <c r="AG109" i="4"/>
  <c r="AH109" i="4" s="1"/>
  <c r="F131" i="4"/>
  <c r="AG113" i="4"/>
  <c r="AH113" i="4" s="1"/>
  <c r="F135" i="4"/>
  <c r="AG108" i="4"/>
  <c r="AH108" i="4" s="1"/>
  <c r="F130" i="4"/>
  <c r="AG114" i="4"/>
  <c r="AH114" i="4" s="1"/>
  <c r="F136" i="4"/>
  <c r="AG110" i="4"/>
  <c r="AH110" i="4" s="1"/>
  <c r="F132" i="4"/>
  <c r="AG105" i="4"/>
  <c r="AH105" i="4" s="1"/>
  <c r="F127" i="4"/>
  <c r="N127" i="4"/>
  <c r="AD127" i="4" s="1"/>
  <c r="AG107" i="4"/>
  <c r="AH107" i="4" s="1"/>
  <c r="F129" i="4"/>
  <c r="AG111" i="4"/>
  <c r="AH111" i="4" s="1"/>
  <c r="F133" i="4"/>
  <c r="AG112" i="4"/>
  <c r="AH112" i="4" s="1"/>
  <c r="F134" i="4"/>
  <c r="R133" i="4"/>
  <c r="I133" i="4"/>
  <c r="N133" i="4"/>
  <c r="AD133" i="4" s="1"/>
  <c r="P133" i="4"/>
  <c r="T133" i="4"/>
  <c r="S133" i="4"/>
  <c r="R129" i="4"/>
  <c r="I129" i="4"/>
  <c r="N129" i="4"/>
  <c r="AD129" i="4" s="1"/>
  <c r="P129" i="4"/>
  <c r="T129" i="4"/>
  <c r="S129" i="4"/>
  <c r="Y83" i="4"/>
  <c r="Y93" i="4" s="1"/>
  <c r="AA93" i="4" s="1"/>
  <c r="H127" i="4"/>
  <c r="J65" i="14"/>
  <c r="M28" i="3"/>
  <c r="AA61" i="4"/>
  <c r="AA161" i="5"/>
  <c r="AC161" i="5" s="1"/>
  <c r="AB61" i="4"/>
  <c r="I47" i="3"/>
  <c r="I52" i="3" s="1"/>
  <c r="I61" i="3" s="1"/>
  <c r="AA222" i="5"/>
  <c r="AA227" i="5"/>
  <c r="AB271" i="5"/>
  <c r="AB233" i="5"/>
  <c r="AA124" i="6"/>
  <c r="AC124" i="6" s="1"/>
  <c r="AA168" i="5"/>
  <c r="AC168" i="5" s="1"/>
  <c r="AB266" i="5"/>
  <c r="AB239" i="5"/>
  <c r="AA251" i="5"/>
  <c r="AB163" i="5"/>
  <c r="AC163" i="5" s="1"/>
  <c r="AA198" i="5"/>
  <c r="AC198" i="5" s="1"/>
  <c r="AB167" i="5"/>
  <c r="AC167" i="5" s="1"/>
  <c r="AA203" i="5"/>
  <c r="AC203" i="5" s="1"/>
  <c r="AB180" i="5"/>
  <c r="AC180" i="5" s="1"/>
  <c r="AB228" i="5"/>
  <c r="AB225" i="5"/>
  <c r="AA223" i="5"/>
  <c r="AB231" i="5"/>
  <c r="AB235" i="5"/>
  <c r="AA224" i="5"/>
  <c r="AA226" i="5"/>
  <c r="AA246" i="5"/>
  <c r="AA118" i="6"/>
  <c r="AC118" i="6" s="1"/>
  <c r="AB191" i="5"/>
  <c r="AC191" i="5" s="1"/>
  <c r="I23" i="3"/>
  <c r="I113" i="7"/>
  <c r="I176" i="7" s="1"/>
  <c r="K113" i="7"/>
  <c r="K176" i="7" s="1"/>
  <c r="K71" i="2"/>
  <c r="M27" i="7" s="1"/>
  <c r="J76" i="2"/>
  <c r="J66" i="2"/>
  <c r="J63" i="2"/>
  <c r="J68" i="2" s="1"/>
  <c r="J73" i="2"/>
  <c r="J78" i="2" s="1"/>
  <c r="I72" i="2"/>
  <c r="I77" i="2" s="1"/>
  <c r="I62" i="2"/>
  <c r="I67" i="2" s="1"/>
  <c r="I48" i="2"/>
  <c r="I46" i="2"/>
  <c r="K36" i="10"/>
  <c r="M108" i="7" s="1"/>
  <c r="AD222" i="5"/>
  <c r="AA120" i="6"/>
  <c r="AC120" i="6" s="1"/>
  <c r="AA228" i="5"/>
  <c r="R84" i="5"/>
  <c r="AD295" i="5"/>
  <c r="AB104" i="6"/>
  <c r="AC104" i="6" s="1"/>
  <c r="AA239" i="5"/>
  <c r="AB227" i="5"/>
  <c r="AD270" i="5"/>
  <c r="AC171" i="5"/>
  <c r="AC195" i="5"/>
  <c r="AC197" i="5"/>
  <c r="AB114" i="6"/>
  <c r="AC114" i="6" s="1"/>
  <c r="AA196" i="5"/>
  <c r="AC196" i="5" s="1"/>
  <c r="AC102" i="6"/>
  <c r="S102" i="6" s="1"/>
  <c r="S132" i="6" s="1"/>
  <c r="Y164" i="6"/>
  <c r="AB164" i="6" s="1"/>
  <c r="AB156" i="6"/>
  <c r="AC156" i="6" s="1"/>
  <c r="AD331" i="5"/>
  <c r="AA258" i="5"/>
  <c r="AB255" i="5"/>
  <c r="AB259" i="5"/>
  <c r="Y154" i="6"/>
  <c r="AB154" i="6" s="1"/>
  <c r="AB188" i="5"/>
  <c r="AC188" i="5" s="1"/>
  <c r="AC160" i="5"/>
  <c r="AC176" i="5"/>
  <c r="AC172" i="5"/>
  <c r="AA158" i="5"/>
  <c r="AC158" i="5" s="1"/>
  <c r="AB204" i="5"/>
  <c r="AC204" i="5" s="1"/>
  <c r="AA112" i="6"/>
  <c r="AC112" i="6" s="1"/>
  <c r="Y170" i="6"/>
  <c r="AB170" i="6" s="1"/>
  <c r="Y144" i="6"/>
  <c r="AA144" i="6" s="1"/>
  <c r="AC157" i="5"/>
  <c r="AC179" i="5"/>
  <c r="AA192" i="5"/>
  <c r="AC192" i="5" s="1"/>
  <c r="AB156" i="5"/>
  <c r="AC156" i="5" s="1"/>
  <c r="AA184" i="5"/>
  <c r="AC184" i="5" s="1"/>
  <c r="W11" i="9"/>
  <c r="L44" i="3"/>
  <c r="AE13" i="9"/>
  <c r="AE16" i="9"/>
  <c r="AE22" i="9"/>
  <c r="AE27" i="9"/>
  <c r="AE32" i="9"/>
  <c r="AE38" i="9"/>
  <c r="AE43" i="9"/>
  <c r="AE48" i="9"/>
  <c r="AE54" i="9"/>
  <c r="AE59" i="9"/>
  <c r="AE64" i="9"/>
  <c r="AE70" i="9"/>
  <c r="AE75" i="9"/>
  <c r="AE80" i="9"/>
  <c r="AE86" i="9"/>
  <c r="AE91" i="9"/>
  <c r="AE96" i="9"/>
  <c r="AE102" i="9"/>
  <c r="AE107" i="9"/>
  <c r="AE112" i="9"/>
  <c r="AE118" i="9"/>
  <c r="AE123" i="9"/>
  <c r="AE128" i="9"/>
  <c r="AE134" i="9"/>
  <c r="AE139" i="9"/>
  <c r="AE144" i="9"/>
  <c r="AE18" i="9"/>
  <c r="AE23" i="9"/>
  <c r="AE28" i="9"/>
  <c r="AE34" i="9"/>
  <c r="AE39" i="9"/>
  <c r="AE44" i="9"/>
  <c r="AE50" i="9"/>
  <c r="AE55" i="9"/>
  <c r="AE60" i="9"/>
  <c r="AE66" i="9"/>
  <c r="AE71" i="9"/>
  <c r="AE76" i="9"/>
  <c r="AE82" i="9"/>
  <c r="AE87" i="9"/>
  <c r="AE92" i="9"/>
  <c r="AE98" i="9"/>
  <c r="AE103" i="9"/>
  <c r="AE108" i="9"/>
  <c r="AE114" i="9"/>
  <c r="AE119" i="9"/>
  <c r="AE124" i="9"/>
  <c r="AE130" i="9"/>
  <c r="AE135" i="9"/>
  <c r="AE140" i="9"/>
  <c r="AE146" i="9"/>
  <c r="AE14" i="9"/>
  <c r="AE19" i="9"/>
  <c r="AE24" i="9"/>
  <c r="AE30" i="9"/>
  <c r="AE35" i="9"/>
  <c r="AE40" i="9"/>
  <c r="AE46" i="9"/>
  <c r="AE51" i="9"/>
  <c r="AE56" i="9"/>
  <c r="AE62" i="9"/>
  <c r="AE67" i="9"/>
  <c r="AE72" i="9"/>
  <c r="AE78" i="9"/>
  <c r="AE83" i="9"/>
  <c r="AE88" i="9"/>
  <c r="AE94" i="9"/>
  <c r="AE99" i="9"/>
  <c r="AE104" i="9"/>
  <c r="AE110" i="9"/>
  <c r="AE115" i="9"/>
  <c r="AE120" i="9"/>
  <c r="AE126" i="9"/>
  <c r="AE131" i="9"/>
  <c r="AE136" i="9"/>
  <c r="AE142" i="9"/>
  <c r="AE15" i="9"/>
  <c r="AE20" i="9"/>
  <c r="AE26" i="9"/>
  <c r="AE31" i="9"/>
  <c r="AE36" i="9"/>
  <c r="AE42" i="9"/>
  <c r="AE47" i="9"/>
  <c r="AE52" i="9"/>
  <c r="AE58" i="9"/>
  <c r="AE63" i="9"/>
  <c r="AE68" i="9"/>
  <c r="AE74" i="9"/>
  <c r="AE79" i="9"/>
  <c r="AE84" i="9"/>
  <c r="AE90" i="9"/>
  <c r="AE95" i="9"/>
  <c r="AE100" i="9"/>
  <c r="AE106" i="9"/>
  <c r="AE111" i="9"/>
  <c r="AE116" i="9"/>
  <c r="AE122" i="9"/>
  <c r="AE127" i="9"/>
  <c r="AE132" i="9"/>
  <c r="AE138" i="9"/>
  <c r="AE143" i="9"/>
  <c r="AE137" i="9"/>
  <c r="AE121" i="9"/>
  <c r="AE105" i="9"/>
  <c r="AE89" i="9"/>
  <c r="AE73" i="9"/>
  <c r="AE57" i="9"/>
  <c r="AE41" i="9"/>
  <c r="AE25" i="9"/>
  <c r="AE133" i="9"/>
  <c r="AE117" i="9"/>
  <c r="AE101" i="9"/>
  <c r="AE85" i="9"/>
  <c r="AE69" i="9"/>
  <c r="AE53" i="9"/>
  <c r="AE37" i="9"/>
  <c r="AE21" i="9"/>
  <c r="AE145" i="9"/>
  <c r="AE129" i="9"/>
  <c r="AE113" i="9"/>
  <c r="AE97" i="9"/>
  <c r="AE81" i="9"/>
  <c r="AE65" i="9"/>
  <c r="AE49" i="9"/>
  <c r="AE33" i="9"/>
  <c r="AE17" i="9"/>
  <c r="AE141" i="9"/>
  <c r="AE125" i="9"/>
  <c r="AE109" i="9"/>
  <c r="AE93" i="9"/>
  <c r="AE77" i="9"/>
  <c r="AE61" i="9"/>
  <c r="AE45" i="9"/>
  <c r="AE29" i="9"/>
  <c r="AC121" i="6"/>
  <c r="AC119" i="6"/>
  <c r="AC165" i="5"/>
  <c r="AC175" i="5"/>
  <c r="AD273" i="5"/>
  <c r="AD250" i="5"/>
  <c r="AC128" i="6"/>
  <c r="AB153" i="6"/>
  <c r="AC153" i="6" s="1"/>
  <c r="AD240" i="5"/>
  <c r="AD246" i="5"/>
  <c r="AD269" i="5"/>
  <c r="AD329" i="5"/>
  <c r="AC87" i="4"/>
  <c r="AC106" i="6"/>
  <c r="J137" i="4"/>
  <c r="J56" i="14" s="1"/>
  <c r="J42" i="14" s="1"/>
  <c r="N128" i="4"/>
  <c r="P128" i="4"/>
  <c r="R62" i="4"/>
  <c r="AC109" i="6"/>
  <c r="P144" i="6"/>
  <c r="AD268" i="5"/>
  <c r="AD266" i="5"/>
  <c r="AD262" i="5"/>
  <c r="AD333" i="5"/>
  <c r="AC200" i="5"/>
  <c r="AD254" i="5"/>
  <c r="AD293" i="5"/>
  <c r="AC116" i="6"/>
  <c r="AC113" i="6"/>
  <c r="AC129" i="6"/>
  <c r="AC108" i="6"/>
  <c r="AD230" i="5"/>
  <c r="AD234" i="5"/>
  <c r="AD236" i="5"/>
  <c r="AD244" i="5"/>
  <c r="AB212" i="6"/>
  <c r="AA212" i="6"/>
  <c r="AA158" i="6"/>
  <c r="AB158" i="6"/>
  <c r="AA270" i="5"/>
  <c r="AB270" i="5"/>
  <c r="AB172" i="6"/>
  <c r="AA172" i="6"/>
  <c r="AA247" i="5"/>
  <c r="AB247" i="5"/>
  <c r="AA159" i="6"/>
  <c r="AB159" i="6"/>
  <c r="AA114" i="4"/>
  <c r="AB114" i="4"/>
  <c r="AB150" i="6"/>
  <c r="AA150" i="6"/>
  <c r="AB166" i="6"/>
  <c r="AA166" i="6"/>
  <c r="AA162" i="6"/>
  <c r="AB162" i="6"/>
  <c r="AA146" i="6"/>
  <c r="AB146" i="6"/>
  <c r="AA243" i="5"/>
  <c r="AB243" i="5"/>
  <c r="AB249" i="5"/>
  <c r="AA249" i="5"/>
  <c r="R326" i="5"/>
  <c r="I326" i="5"/>
  <c r="Y326" i="5" s="1"/>
  <c r="P326" i="5"/>
  <c r="T326" i="5"/>
  <c r="N326" i="5"/>
  <c r="O326" i="5"/>
  <c r="S326" i="5"/>
  <c r="R318" i="5"/>
  <c r="I318" i="5"/>
  <c r="P318" i="5"/>
  <c r="T318" i="5"/>
  <c r="N318" i="5"/>
  <c r="O318" i="5"/>
  <c r="S318" i="5"/>
  <c r="R302" i="5"/>
  <c r="I302" i="5"/>
  <c r="P302" i="5"/>
  <c r="T302" i="5"/>
  <c r="N302" i="5"/>
  <c r="O302" i="5"/>
  <c r="S302" i="5"/>
  <c r="R322" i="5"/>
  <c r="I322" i="5"/>
  <c r="Y322" i="5" s="1"/>
  <c r="P322" i="5"/>
  <c r="T322" i="5"/>
  <c r="N322" i="5"/>
  <c r="S322" i="5"/>
  <c r="O322" i="5"/>
  <c r="R296" i="5"/>
  <c r="I296" i="5"/>
  <c r="Y296" i="5" s="1"/>
  <c r="T296" i="5"/>
  <c r="N296" i="5"/>
  <c r="P296" i="5"/>
  <c r="S296" i="5"/>
  <c r="O296" i="5"/>
  <c r="R205" i="6"/>
  <c r="I205" i="6"/>
  <c r="Y205" i="6" s="1"/>
  <c r="AA205" i="6" s="1"/>
  <c r="S205" i="6"/>
  <c r="P205" i="6"/>
  <c r="N205" i="6"/>
  <c r="AD205" i="6" s="1"/>
  <c r="T205" i="6"/>
  <c r="R330" i="5"/>
  <c r="I330" i="5"/>
  <c r="Y330" i="5" s="1"/>
  <c r="P330" i="5"/>
  <c r="T330" i="5"/>
  <c r="N330" i="5"/>
  <c r="S330" i="5"/>
  <c r="O330" i="5"/>
  <c r="R306" i="5"/>
  <c r="I306" i="5"/>
  <c r="Y306" i="5" s="1"/>
  <c r="P306" i="5"/>
  <c r="T306" i="5"/>
  <c r="N306" i="5"/>
  <c r="S306" i="5"/>
  <c r="O306" i="5"/>
  <c r="R188" i="6"/>
  <c r="I188" i="6"/>
  <c r="Y188" i="6" s="1"/>
  <c r="T188" i="6"/>
  <c r="S188" i="6"/>
  <c r="P188" i="6"/>
  <c r="N188" i="6"/>
  <c r="AD188" i="6" s="1"/>
  <c r="R290" i="5"/>
  <c r="I290" i="5"/>
  <c r="P290" i="5"/>
  <c r="T290" i="5"/>
  <c r="N290" i="5"/>
  <c r="S290" i="5"/>
  <c r="O290" i="5"/>
  <c r="R300" i="5"/>
  <c r="I300" i="5"/>
  <c r="Y300" i="5" s="1"/>
  <c r="T300" i="5"/>
  <c r="N300" i="5"/>
  <c r="P300" i="5"/>
  <c r="S300" i="5"/>
  <c r="O300" i="5"/>
  <c r="R303" i="5"/>
  <c r="I303" i="5"/>
  <c r="Y303" i="5" s="1"/>
  <c r="O303" i="5"/>
  <c r="S303" i="5"/>
  <c r="T303" i="5"/>
  <c r="P303" i="5"/>
  <c r="N303" i="5"/>
  <c r="R305" i="5"/>
  <c r="I305" i="5"/>
  <c r="Y305" i="5" s="1"/>
  <c r="S305" i="5"/>
  <c r="O305" i="5"/>
  <c r="P305" i="5"/>
  <c r="N305" i="5"/>
  <c r="T305" i="5"/>
  <c r="R301" i="5"/>
  <c r="I301" i="5"/>
  <c r="Y301" i="5" s="1"/>
  <c r="S301" i="5"/>
  <c r="O301" i="5"/>
  <c r="T301" i="5"/>
  <c r="P301" i="5"/>
  <c r="N301" i="5"/>
  <c r="R311" i="5"/>
  <c r="I311" i="5"/>
  <c r="Y311" i="5" s="1"/>
  <c r="O311" i="5"/>
  <c r="S311" i="5"/>
  <c r="T311" i="5"/>
  <c r="P311" i="5"/>
  <c r="N311" i="5"/>
  <c r="R199" i="6"/>
  <c r="I199" i="6"/>
  <c r="Y199" i="6" s="1"/>
  <c r="S199" i="6"/>
  <c r="P199" i="6"/>
  <c r="T199" i="6"/>
  <c r="N199" i="6"/>
  <c r="AD199" i="6" s="1"/>
  <c r="R313" i="5"/>
  <c r="I313" i="5"/>
  <c r="S313" i="5"/>
  <c r="O313" i="5"/>
  <c r="P313" i="5"/>
  <c r="N313" i="5"/>
  <c r="T313" i="5"/>
  <c r="AD228" i="5"/>
  <c r="R320" i="5"/>
  <c r="I320" i="5"/>
  <c r="Y320" i="5" s="1"/>
  <c r="T320" i="5"/>
  <c r="N320" i="5"/>
  <c r="P320" i="5"/>
  <c r="S320" i="5"/>
  <c r="O320" i="5"/>
  <c r="R316" i="5"/>
  <c r="I316" i="5"/>
  <c r="Y316" i="5" s="1"/>
  <c r="T316" i="5"/>
  <c r="N316" i="5"/>
  <c r="P316" i="5"/>
  <c r="S316" i="5"/>
  <c r="O316" i="5"/>
  <c r="R211" i="6"/>
  <c r="I211" i="6"/>
  <c r="Y211" i="6" s="1"/>
  <c r="T211" i="6"/>
  <c r="N211" i="6"/>
  <c r="AD211" i="6" s="1"/>
  <c r="S211" i="6"/>
  <c r="P211" i="6"/>
  <c r="AD227" i="5"/>
  <c r="AA267" i="5"/>
  <c r="AB267" i="5"/>
  <c r="AD241" i="5"/>
  <c r="AD251" i="5"/>
  <c r="J16" i="8"/>
  <c r="J19" i="8" s="1"/>
  <c r="J38" i="12"/>
  <c r="J42" i="12" s="1"/>
  <c r="I38" i="16" s="1"/>
  <c r="R196" i="6"/>
  <c r="I196" i="6"/>
  <c r="T196" i="6"/>
  <c r="S196" i="6"/>
  <c r="P196" i="6"/>
  <c r="N196" i="6"/>
  <c r="AD196" i="6" s="1"/>
  <c r="AC130" i="6"/>
  <c r="R198" i="6"/>
  <c r="I198" i="6"/>
  <c r="Y198" i="6" s="1"/>
  <c r="N198" i="6"/>
  <c r="AD198" i="6" s="1"/>
  <c r="T198" i="6"/>
  <c r="S198" i="6"/>
  <c r="P198" i="6"/>
  <c r="R214" i="6"/>
  <c r="I214" i="6"/>
  <c r="Y214" i="6" s="1"/>
  <c r="AB214" i="6" s="1"/>
  <c r="N214" i="6"/>
  <c r="AD214" i="6" s="1"/>
  <c r="T214" i="6"/>
  <c r="S214" i="6"/>
  <c r="P214" i="6"/>
  <c r="R334" i="5"/>
  <c r="I334" i="5"/>
  <c r="Y334" i="5" s="1"/>
  <c r="P334" i="5"/>
  <c r="T334" i="5"/>
  <c r="N334" i="5"/>
  <c r="O334" i="5"/>
  <c r="S334" i="5"/>
  <c r="R111" i="4"/>
  <c r="I111" i="4"/>
  <c r="S111" i="4"/>
  <c r="P111" i="4"/>
  <c r="N111" i="4"/>
  <c r="AD111" i="4" s="1"/>
  <c r="T111" i="4"/>
  <c r="R193" i="6"/>
  <c r="I193" i="6"/>
  <c r="Y193" i="6" s="1"/>
  <c r="N193" i="6"/>
  <c r="AD193" i="6" s="1"/>
  <c r="T193" i="6"/>
  <c r="S193" i="6"/>
  <c r="P193" i="6"/>
  <c r="R209" i="6"/>
  <c r="I209" i="6"/>
  <c r="Y209" i="6" s="1"/>
  <c r="N209" i="6"/>
  <c r="AD209" i="6" s="1"/>
  <c r="T209" i="6"/>
  <c r="S209" i="6"/>
  <c r="P209" i="6"/>
  <c r="R339" i="5"/>
  <c r="I339" i="5"/>
  <c r="Y339" i="5" s="1"/>
  <c r="O339" i="5"/>
  <c r="S339" i="5"/>
  <c r="N339" i="5"/>
  <c r="T339" i="5"/>
  <c r="P339" i="5"/>
  <c r="R304" i="5"/>
  <c r="I304" i="5"/>
  <c r="Y304" i="5" s="1"/>
  <c r="T304" i="5"/>
  <c r="N304" i="5"/>
  <c r="P304" i="5"/>
  <c r="S304" i="5"/>
  <c r="O304" i="5"/>
  <c r="R289" i="5"/>
  <c r="I289" i="5"/>
  <c r="Y289" i="5" s="1"/>
  <c r="S289" i="5"/>
  <c r="O289" i="5"/>
  <c r="P289" i="5"/>
  <c r="N289" i="5"/>
  <c r="T289" i="5"/>
  <c r="R192" i="6"/>
  <c r="I192" i="6"/>
  <c r="Y192" i="6" s="1"/>
  <c r="AA192" i="6" s="1"/>
  <c r="P192" i="6"/>
  <c r="N192" i="6"/>
  <c r="AD192" i="6" s="1"/>
  <c r="T192" i="6"/>
  <c r="S192" i="6"/>
  <c r="R336" i="5"/>
  <c r="I336" i="5"/>
  <c r="Y336" i="5" s="1"/>
  <c r="T336" i="5"/>
  <c r="N336" i="5"/>
  <c r="P336" i="5"/>
  <c r="S336" i="5"/>
  <c r="O336" i="5"/>
  <c r="R297" i="5"/>
  <c r="I297" i="5"/>
  <c r="S297" i="5"/>
  <c r="O297" i="5"/>
  <c r="P297" i="5"/>
  <c r="N297" i="5"/>
  <c r="T297" i="5"/>
  <c r="R107" i="4"/>
  <c r="I107" i="4"/>
  <c r="S107" i="4"/>
  <c r="P107" i="4"/>
  <c r="N107" i="4"/>
  <c r="AD107" i="4" s="1"/>
  <c r="T107" i="4"/>
  <c r="R310" i="5"/>
  <c r="I310" i="5"/>
  <c r="Y310" i="5" s="1"/>
  <c r="P310" i="5"/>
  <c r="T310" i="5"/>
  <c r="N310" i="5"/>
  <c r="O310" i="5"/>
  <c r="S310" i="5"/>
  <c r="R298" i="5"/>
  <c r="I298" i="5"/>
  <c r="Y298" i="5" s="1"/>
  <c r="P298" i="5"/>
  <c r="T298" i="5"/>
  <c r="N298" i="5"/>
  <c r="S298" i="5"/>
  <c r="O298" i="5"/>
  <c r="R204" i="6"/>
  <c r="I204" i="6"/>
  <c r="Y204" i="6" s="1"/>
  <c r="AB204" i="6" s="1"/>
  <c r="T204" i="6"/>
  <c r="S204" i="6"/>
  <c r="P204" i="6"/>
  <c r="N204" i="6"/>
  <c r="AD204" i="6" s="1"/>
  <c r="R338" i="5"/>
  <c r="I338" i="5"/>
  <c r="Y338" i="5" s="1"/>
  <c r="P338" i="5"/>
  <c r="T338" i="5"/>
  <c r="N338" i="5"/>
  <c r="S338" i="5"/>
  <c r="O338" i="5"/>
  <c r="R314" i="5"/>
  <c r="I314" i="5"/>
  <c r="Y314" i="5" s="1"/>
  <c r="P314" i="5"/>
  <c r="T314" i="5"/>
  <c r="N314" i="5"/>
  <c r="S314" i="5"/>
  <c r="O314" i="5"/>
  <c r="R321" i="5"/>
  <c r="I321" i="5"/>
  <c r="S321" i="5"/>
  <c r="O321" i="5"/>
  <c r="P321" i="5"/>
  <c r="N321" i="5"/>
  <c r="T321" i="5"/>
  <c r="R207" i="6"/>
  <c r="I207" i="6"/>
  <c r="Y207" i="6" s="1"/>
  <c r="S207" i="6"/>
  <c r="P207" i="6"/>
  <c r="T207" i="6"/>
  <c r="N207" i="6"/>
  <c r="AD207" i="6" s="1"/>
  <c r="AD248" i="5"/>
  <c r="AD223" i="5"/>
  <c r="R206" i="6"/>
  <c r="I206" i="6"/>
  <c r="Y206" i="6" s="1"/>
  <c r="AB206" i="6" s="1"/>
  <c r="N206" i="6"/>
  <c r="AD206" i="6" s="1"/>
  <c r="T206" i="6"/>
  <c r="S206" i="6"/>
  <c r="P206" i="6"/>
  <c r="AD307" i="5"/>
  <c r="AD317" i="5"/>
  <c r="AD325" i="5"/>
  <c r="AD272" i="5"/>
  <c r="AD323" i="5"/>
  <c r="AD229" i="5"/>
  <c r="R288" i="5"/>
  <c r="I288" i="5"/>
  <c r="Y288" i="5" s="1"/>
  <c r="T288" i="5"/>
  <c r="N288" i="5"/>
  <c r="P288" i="5"/>
  <c r="S288" i="5"/>
  <c r="O288" i="5"/>
  <c r="AB147" i="6"/>
  <c r="AA147" i="6"/>
  <c r="I158" i="3"/>
  <c r="R202" i="6"/>
  <c r="I202" i="6"/>
  <c r="S202" i="6"/>
  <c r="P202" i="6"/>
  <c r="N202" i="6"/>
  <c r="AD202" i="6" s="1"/>
  <c r="T202" i="6"/>
  <c r="R190" i="6"/>
  <c r="I190" i="6"/>
  <c r="Y190" i="6" s="1"/>
  <c r="N190" i="6"/>
  <c r="AD190" i="6" s="1"/>
  <c r="T190" i="6"/>
  <c r="S190" i="6"/>
  <c r="P190" i="6"/>
  <c r="R197" i="6"/>
  <c r="I197" i="6"/>
  <c r="Y197" i="6" s="1"/>
  <c r="S197" i="6"/>
  <c r="P197" i="6"/>
  <c r="N197" i="6"/>
  <c r="AD197" i="6" s="1"/>
  <c r="T197" i="6"/>
  <c r="R213" i="6"/>
  <c r="I213" i="6"/>
  <c r="Y213" i="6" s="1"/>
  <c r="S213" i="6"/>
  <c r="P213" i="6"/>
  <c r="N213" i="6"/>
  <c r="AD213" i="6" s="1"/>
  <c r="T213" i="6"/>
  <c r="R319" i="5"/>
  <c r="I319" i="5"/>
  <c r="Y319" i="5" s="1"/>
  <c r="O319" i="5"/>
  <c r="S319" i="5"/>
  <c r="T319" i="5"/>
  <c r="P319" i="5"/>
  <c r="N319" i="5"/>
  <c r="R337" i="5"/>
  <c r="I337" i="5"/>
  <c r="S337" i="5"/>
  <c r="O337" i="5"/>
  <c r="P337" i="5"/>
  <c r="N337" i="5"/>
  <c r="T337" i="5"/>
  <c r="R215" i="6"/>
  <c r="I215" i="6"/>
  <c r="Y215" i="6" s="1"/>
  <c r="T215" i="6"/>
  <c r="S215" i="6"/>
  <c r="P215" i="6"/>
  <c r="N215" i="6"/>
  <c r="AD215" i="6" s="1"/>
  <c r="R208" i="6"/>
  <c r="I208" i="6"/>
  <c r="P208" i="6"/>
  <c r="N208" i="6"/>
  <c r="AD208" i="6" s="1"/>
  <c r="T208" i="6"/>
  <c r="S208" i="6"/>
  <c r="R340" i="5"/>
  <c r="I340" i="5"/>
  <c r="Y340" i="5" s="1"/>
  <c r="T340" i="5"/>
  <c r="N340" i="5"/>
  <c r="P340" i="5"/>
  <c r="S340" i="5"/>
  <c r="O340" i="5"/>
  <c r="AD239" i="5"/>
  <c r="AD242" i="5"/>
  <c r="AD267" i="5"/>
  <c r="AD226" i="5"/>
  <c r="AD271" i="5"/>
  <c r="AB263" i="5"/>
  <c r="AA263" i="5"/>
  <c r="AD232" i="5"/>
  <c r="AD224" i="5"/>
  <c r="AD252" i="5"/>
  <c r="AD263" i="5"/>
  <c r="AD265" i="5"/>
  <c r="R294" i="5"/>
  <c r="I294" i="5"/>
  <c r="Y294" i="5" s="1"/>
  <c r="P294" i="5"/>
  <c r="T294" i="5"/>
  <c r="N294" i="5"/>
  <c r="O294" i="5"/>
  <c r="S294" i="5"/>
  <c r="R201" i="6"/>
  <c r="I201" i="6"/>
  <c r="N201" i="6"/>
  <c r="AD201" i="6" s="1"/>
  <c r="T201" i="6"/>
  <c r="S201" i="6"/>
  <c r="P201" i="6"/>
  <c r="R309" i="5"/>
  <c r="I309" i="5"/>
  <c r="Y309" i="5" s="1"/>
  <c r="S309" i="5"/>
  <c r="O309" i="5"/>
  <c r="T309" i="5"/>
  <c r="P309" i="5"/>
  <c r="N309" i="5"/>
  <c r="R291" i="5"/>
  <c r="I291" i="5"/>
  <c r="Y291" i="5" s="1"/>
  <c r="O291" i="5"/>
  <c r="S291" i="5"/>
  <c r="N291" i="5"/>
  <c r="T291" i="5"/>
  <c r="P291" i="5"/>
  <c r="R194" i="6"/>
  <c r="I194" i="6"/>
  <c r="Y194" i="6" s="1"/>
  <c r="S194" i="6"/>
  <c r="P194" i="6"/>
  <c r="N194" i="6"/>
  <c r="AD194" i="6" s="1"/>
  <c r="T194" i="6"/>
  <c r="R299" i="5"/>
  <c r="I299" i="5"/>
  <c r="Y299" i="5" s="1"/>
  <c r="O299" i="5"/>
  <c r="S299" i="5"/>
  <c r="N299" i="5"/>
  <c r="T299" i="5"/>
  <c r="P299" i="5"/>
  <c r="R315" i="5"/>
  <c r="I315" i="5"/>
  <c r="Y315" i="5" s="1"/>
  <c r="O315" i="5"/>
  <c r="S315" i="5"/>
  <c r="N315" i="5"/>
  <c r="T315" i="5"/>
  <c r="P315" i="5"/>
  <c r="R324" i="5"/>
  <c r="I324" i="5"/>
  <c r="Y324" i="5" s="1"/>
  <c r="T324" i="5"/>
  <c r="N324" i="5"/>
  <c r="P324" i="5"/>
  <c r="S324" i="5"/>
  <c r="O324" i="5"/>
  <c r="R308" i="5"/>
  <c r="I308" i="5"/>
  <c r="Y308" i="5" s="1"/>
  <c r="T308" i="5"/>
  <c r="N308" i="5"/>
  <c r="P308" i="5"/>
  <c r="S308" i="5"/>
  <c r="O308" i="5"/>
  <c r="R189" i="6"/>
  <c r="I189" i="6"/>
  <c r="Y189" i="6" s="1"/>
  <c r="S189" i="6"/>
  <c r="P189" i="6"/>
  <c r="N189" i="6"/>
  <c r="AD189" i="6" s="1"/>
  <c r="T189" i="6"/>
  <c r="AD292" i="5"/>
  <c r="AD235" i="5"/>
  <c r="R332" i="5"/>
  <c r="I332" i="5"/>
  <c r="Y332" i="5" s="1"/>
  <c r="T332" i="5"/>
  <c r="N332" i="5"/>
  <c r="P332" i="5"/>
  <c r="S332" i="5"/>
  <c r="O332" i="5"/>
  <c r="AD258" i="5"/>
  <c r="L155" i="3"/>
  <c r="J17" i="11" s="1"/>
  <c r="I25" i="16" s="1"/>
  <c r="H29" i="13"/>
  <c r="AD264" i="5"/>
  <c r="AD238" i="5"/>
  <c r="R312" i="5"/>
  <c r="I312" i="5"/>
  <c r="Y312" i="5" s="1"/>
  <c r="T312" i="5"/>
  <c r="N312" i="5"/>
  <c r="P312" i="5"/>
  <c r="S312" i="5"/>
  <c r="O312" i="5"/>
  <c r="AD233" i="5"/>
  <c r="AC110" i="6"/>
  <c r="H176" i="7"/>
  <c r="F20" i="13"/>
  <c r="G63" i="14"/>
  <c r="G11" i="14"/>
  <c r="G21" i="14"/>
  <c r="G40" i="14"/>
  <c r="I25" i="10"/>
  <c r="AC67" i="4"/>
  <c r="H25" i="10"/>
  <c r="H23" i="3"/>
  <c r="AC68" i="4"/>
  <c r="AC88" i="4"/>
  <c r="AC89" i="4"/>
  <c r="AC155" i="5"/>
  <c r="AC205" i="5"/>
  <c r="AC199" i="5"/>
  <c r="AC183" i="5"/>
  <c r="AC190" i="5"/>
  <c r="AC193" i="5"/>
  <c r="AC189" i="5"/>
  <c r="AC185" i="5"/>
  <c r="AC177" i="5"/>
  <c r="AC162" i="5"/>
  <c r="AC149" i="6"/>
  <c r="AC107" i="6"/>
  <c r="R102" i="6"/>
  <c r="R132" i="6" s="1"/>
  <c r="AC85" i="5"/>
  <c r="I106" i="4"/>
  <c r="P106" i="4"/>
  <c r="N106" i="4"/>
  <c r="AD106" i="4" s="1"/>
  <c r="P132" i="6"/>
  <c r="S89" i="6"/>
  <c r="I186" i="6"/>
  <c r="Y186" i="6" s="1"/>
  <c r="N186" i="6"/>
  <c r="AD186" i="6" s="1"/>
  <c r="T59" i="6"/>
  <c r="AC84" i="5"/>
  <c r="S84" i="5" s="1"/>
  <c r="I286" i="5"/>
  <c r="Y286" i="5" s="1"/>
  <c r="T38" i="4"/>
  <c r="I105" i="4"/>
  <c r="N105" i="4"/>
  <c r="AD105" i="4" s="1"/>
  <c r="AC126" i="6"/>
  <c r="AC125" i="6"/>
  <c r="AC115" i="6"/>
  <c r="AB167" i="6"/>
  <c r="AA167" i="6"/>
  <c r="AA161" i="6"/>
  <c r="AB161" i="6"/>
  <c r="AB163" i="6"/>
  <c r="AA163" i="6"/>
  <c r="AB160" i="6"/>
  <c r="AA160" i="6"/>
  <c r="AC123" i="6"/>
  <c r="AC111" i="6"/>
  <c r="AC131" i="6"/>
  <c r="AC122" i="6"/>
  <c r="AB152" i="6"/>
  <c r="AA152" i="6"/>
  <c r="AA157" i="6"/>
  <c r="AB157" i="6"/>
  <c r="AB168" i="6"/>
  <c r="AA168" i="6"/>
  <c r="AB148" i="6"/>
  <c r="AA148" i="6"/>
  <c r="AB155" i="6"/>
  <c r="AA155" i="6"/>
  <c r="AB171" i="6"/>
  <c r="AA171" i="6"/>
  <c r="AA169" i="6"/>
  <c r="AB169" i="6"/>
  <c r="AA173" i="6"/>
  <c r="AB173" i="6"/>
  <c r="AA165" i="6"/>
  <c r="AB165" i="6"/>
  <c r="AB151" i="6"/>
  <c r="AA151" i="6"/>
  <c r="AC105" i="6"/>
  <c r="AA187" i="6"/>
  <c r="AB187" i="6"/>
  <c r="N187" i="6"/>
  <c r="AD187" i="6" s="1"/>
  <c r="P145" i="6"/>
  <c r="R145" i="6" s="1"/>
  <c r="AC145" i="6"/>
  <c r="AC169" i="5"/>
  <c r="AC159" i="5"/>
  <c r="AC194" i="5"/>
  <c r="AC154" i="5"/>
  <c r="AC201" i="5"/>
  <c r="AC166" i="5"/>
  <c r="AC187" i="5"/>
  <c r="AC202" i="5"/>
  <c r="AC170" i="5"/>
  <c r="AC173" i="5"/>
  <c r="AB273" i="5"/>
  <c r="AA273" i="5"/>
  <c r="AA238" i="5"/>
  <c r="AB238" i="5"/>
  <c r="AB236" i="5"/>
  <c r="AA236" i="5"/>
  <c r="AB244" i="5"/>
  <c r="AA244" i="5"/>
  <c r="AA262" i="5"/>
  <c r="AB262" i="5"/>
  <c r="AB248" i="5"/>
  <c r="AA248" i="5"/>
  <c r="AA264" i="5"/>
  <c r="AB264" i="5"/>
  <c r="AC174" i="5"/>
  <c r="AB268" i="5"/>
  <c r="AA268" i="5"/>
  <c r="AB229" i="5"/>
  <c r="AA229" i="5"/>
  <c r="AB221" i="5"/>
  <c r="AA221" i="5"/>
  <c r="AA234" i="5"/>
  <c r="AB234" i="5"/>
  <c r="AB272" i="5"/>
  <c r="AA272" i="5"/>
  <c r="AB245" i="5"/>
  <c r="AA245" i="5"/>
  <c r="AB257" i="5"/>
  <c r="AA257" i="5"/>
  <c r="AA261" i="5"/>
  <c r="AB261" i="5"/>
  <c r="AA242" i="5"/>
  <c r="AB242" i="5"/>
  <c r="S85" i="5"/>
  <c r="AB240" i="5"/>
  <c r="AA240" i="5"/>
  <c r="AA253" i="5"/>
  <c r="AB253" i="5"/>
  <c r="AA250" i="5"/>
  <c r="AB250" i="5"/>
  <c r="AA252" i="5"/>
  <c r="AB252" i="5"/>
  <c r="AB256" i="5"/>
  <c r="AA256" i="5"/>
  <c r="AB237" i="5"/>
  <c r="AA237" i="5"/>
  <c r="AB269" i="5"/>
  <c r="AA269" i="5"/>
  <c r="AA232" i="5"/>
  <c r="AB232" i="5"/>
  <c r="AB241" i="5"/>
  <c r="AA241" i="5"/>
  <c r="AA333" i="5"/>
  <c r="AB265" i="5"/>
  <c r="AA265" i="5"/>
  <c r="AA230" i="5"/>
  <c r="AB230" i="5"/>
  <c r="AB260" i="5"/>
  <c r="AA260" i="5"/>
  <c r="AC181" i="5"/>
  <c r="AC178" i="5"/>
  <c r="AC186" i="5"/>
  <c r="AC206" i="5"/>
  <c r="AC182" i="5"/>
  <c r="AB152" i="5"/>
  <c r="AA152" i="5"/>
  <c r="O219" i="5"/>
  <c r="P152" i="5"/>
  <c r="AD152" i="5"/>
  <c r="O220" i="5"/>
  <c r="T85" i="5"/>
  <c r="P153" i="5"/>
  <c r="AD153" i="5"/>
  <c r="AB153" i="5"/>
  <c r="AA153" i="5"/>
  <c r="AC86" i="4"/>
  <c r="AC91" i="4"/>
  <c r="AB109" i="4"/>
  <c r="AA109" i="4"/>
  <c r="AA85" i="4"/>
  <c r="AB85" i="4"/>
  <c r="AA111" i="4"/>
  <c r="AA90" i="4"/>
  <c r="AB90" i="4"/>
  <c r="AC64" i="4"/>
  <c r="AA84" i="4"/>
  <c r="AB84" i="4"/>
  <c r="R84" i="4" s="1"/>
  <c r="AC62" i="4"/>
  <c r="S62" i="4" s="1"/>
  <c r="AM289" i="5"/>
  <c r="AM296" i="5"/>
  <c r="AM300" i="5"/>
  <c r="AM305" i="5"/>
  <c r="AM304" i="5"/>
  <c r="AK333" i="5"/>
  <c r="AL333" i="5" s="1"/>
  <c r="AM333" i="5" s="1"/>
  <c r="P71" i="4"/>
  <c r="AM299" i="5"/>
  <c r="AM340" i="5"/>
  <c r="O207" i="5"/>
  <c r="N93" i="4"/>
  <c r="AK337" i="5"/>
  <c r="AL337" i="5" s="1"/>
  <c r="AM337" i="5" s="1"/>
  <c r="AM314" i="5"/>
  <c r="AI336" i="5"/>
  <c r="AJ336" i="5" s="1"/>
  <c r="AM291" i="5"/>
  <c r="AM311" i="5"/>
  <c r="N274" i="5"/>
  <c r="N174" i="6"/>
  <c r="AK318" i="5"/>
  <c r="AL318" i="5" s="1"/>
  <c r="AM318" i="5" s="1"/>
  <c r="T71" i="5"/>
  <c r="H110" i="3" s="1"/>
  <c r="AM301" i="5"/>
  <c r="P139" i="5"/>
  <c r="AM286" i="5"/>
  <c r="AM290" i="5"/>
  <c r="AM322" i="5"/>
  <c r="R48" i="4"/>
  <c r="J115" i="4"/>
  <c r="I56" i="14" s="1"/>
  <c r="I42" i="14" s="1"/>
  <c r="R89" i="6"/>
  <c r="S48" i="4"/>
  <c r="AK303" i="5"/>
  <c r="AL303" i="5" s="1"/>
  <c r="AM303" i="5" s="1"/>
  <c r="AI299" i="5"/>
  <c r="AJ299" i="5" s="1"/>
  <c r="AI325" i="5"/>
  <c r="AJ325" i="5" s="1"/>
  <c r="AK325" i="5"/>
  <c r="AL325" i="5" s="1"/>
  <c r="AM325" i="5" s="1"/>
  <c r="AI307" i="5"/>
  <c r="AJ307" i="5" s="1"/>
  <c r="AK307" i="5"/>
  <c r="AL307" i="5" s="1"/>
  <c r="AM307" i="5" s="1"/>
  <c r="AI335" i="5"/>
  <c r="AJ335" i="5" s="1"/>
  <c r="AK335" i="5"/>
  <c r="AL335" i="5" s="1"/>
  <c r="AM335" i="5" s="1"/>
  <c r="AI309" i="5"/>
  <c r="AJ309" i="5" s="1"/>
  <c r="AK309" i="5"/>
  <c r="AL309" i="5" s="1"/>
  <c r="AM309" i="5" s="1"/>
  <c r="AK313" i="5"/>
  <c r="AL313" i="5" s="1"/>
  <c r="AM313" i="5" s="1"/>
  <c r="AI313" i="5"/>
  <c r="AJ313" i="5" s="1"/>
  <c r="AI319" i="5"/>
  <c r="AJ319" i="5" s="1"/>
  <c r="AK319" i="5"/>
  <c r="AL319" i="5" s="1"/>
  <c r="AM319" i="5" s="1"/>
  <c r="AI329" i="5"/>
  <c r="AJ329" i="5" s="1"/>
  <c r="AK329" i="5"/>
  <c r="AL329" i="5" s="1"/>
  <c r="AM329" i="5" s="1"/>
  <c r="AK293" i="5"/>
  <c r="AL293" i="5" s="1"/>
  <c r="AM293" i="5" s="1"/>
  <c r="AI293" i="5"/>
  <c r="AJ293" i="5" s="1"/>
  <c r="AK331" i="5"/>
  <c r="AL331" i="5" s="1"/>
  <c r="AM331" i="5" s="1"/>
  <c r="AI331" i="5"/>
  <c r="AJ331" i="5" s="1"/>
  <c r="AK327" i="5"/>
  <c r="AL327" i="5" s="1"/>
  <c r="AM327" i="5" s="1"/>
  <c r="AI327" i="5"/>
  <c r="AJ327" i="5" s="1"/>
  <c r="AK317" i="5"/>
  <c r="AL317" i="5" s="1"/>
  <c r="AM317" i="5" s="1"/>
  <c r="AI317" i="5"/>
  <c r="AJ317" i="5" s="1"/>
  <c r="AI321" i="5"/>
  <c r="AJ321" i="5" s="1"/>
  <c r="AK321" i="5"/>
  <c r="AL321" i="5" s="1"/>
  <c r="AM321" i="5" s="1"/>
  <c r="AK323" i="5"/>
  <c r="AL323" i="5" s="1"/>
  <c r="AM323" i="5" s="1"/>
  <c r="AI323" i="5"/>
  <c r="AJ323" i="5" s="1"/>
  <c r="H47" i="3"/>
  <c r="H52" i="3" s="1"/>
  <c r="H61" i="3" s="1"/>
  <c r="H38" i="7"/>
  <c r="H58" i="7" s="1"/>
  <c r="AM302" i="5"/>
  <c r="AK308" i="5"/>
  <c r="AL308" i="5" s="1"/>
  <c r="AM308" i="5" s="1"/>
  <c r="AI308" i="5"/>
  <c r="AJ308" i="5" s="1"/>
  <c r="AI338" i="5"/>
  <c r="AJ338" i="5" s="1"/>
  <c r="AK338" i="5"/>
  <c r="AL338" i="5" s="1"/>
  <c r="AM338" i="5" s="1"/>
  <c r="AK310" i="5"/>
  <c r="AL310" i="5" s="1"/>
  <c r="AM310" i="5" s="1"/>
  <c r="AI310" i="5"/>
  <c r="AJ310" i="5" s="1"/>
  <c r="AK312" i="5"/>
  <c r="AL312" i="5" s="1"/>
  <c r="AM312" i="5" s="1"/>
  <c r="AI312" i="5"/>
  <c r="AJ312" i="5" s="1"/>
  <c r="AI316" i="5"/>
  <c r="AJ316" i="5" s="1"/>
  <c r="AK316" i="5"/>
  <c r="AL316" i="5" s="1"/>
  <c r="AM316" i="5" s="1"/>
  <c r="AK326" i="5"/>
  <c r="AL326" i="5" s="1"/>
  <c r="AM326" i="5" s="1"/>
  <c r="AI326" i="5"/>
  <c r="AJ326" i="5" s="1"/>
  <c r="AI330" i="5"/>
  <c r="AJ330" i="5" s="1"/>
  <c r="AK330" i="5"/>
  <c r="AL330" i="5" s="1"/>
  <c r="AM330" i="5" s="1"/>
  <c r="AK292" i="5"/>
  <c r="AL292" i="5" s="1"/>
  <c r="AM292" i="5" s="1"/>
  <c r="AI292" i="5"/>
  <c r="AJ292" i="5" s="1"/>
  <c r="AK332" i="5"/>
  <c r="AL332" i="5" s="1"/>
  <c r="AM332" i="5" s="1"/>
  <c r="AI332" i="5"/>
  <c r="AJ332" i="5" s="1"/>
  <c r="AI306" i="5"/>
  <c r="AJ306" i="5" s="1"/>
  <c r="AK306" i="5"/>
  <c r="AL306" i="5" s="1"/>
  <c r="AM306" i="5" s="1"/>
  <c r="AK298" i="5"/>
  <c r="AL298" i="5" s="1"/>
  <c r="AM298" i="5" s="1"/>
  <c r="AI298" i="5"/>
  <c r="AJ298" i="5" s="1"/>
  <c r="AI324" i="5"/>
  <c r="AJ324" i="5" s="1"/>
  <c r="AK324" i="5"/>
  <c r="AL324" i="5" s="1"/>
  <c r="AM324" i="5" s="1"/>
  <c r="AK320" i="5"/>
  <c r="AL320" i="5" s="1"/>
  <c r="AM320" i="5" s="1"/>
  <c r="AI320" i="5"/>
  <c r="AJ320" i="5" s="1"/>
  <c r="AI328" i="5"/>
  <c r="AJ328" i="5" s="1"/>
  <c r="AK328" i="5"/>
  <c r="AL328" i="5" s="1"/>
  <c r="AM328" i="5" s="1"/>
  <c r="AM294" i="5"/>
  <c r="G61" i="16"/>
  <c r="AM334" i="5"/>
  <c r="G25" i="10"/>
  <c r="J37" i="10"/>
  <c r="L109" i="7" s="1"/>
  <c r="J36" i="10"/>
  <c r="L108" i="7" s="1"/>
  <c r="AH156" i="6"/>
  <c r="AH174" i="6" s="1"/>
  <c r="AG174" i="6"/>
  <c r="J341" i="5"/>
  <c r="J216" i="6"/>
  <c r="AH219" i="5"/>
  <c r="AH274" i="5" s="1"/>
  <c r="AG274" i="5"/>
  <c r="F29" i="10"/>
  <c r="F37" i="13" s="1"/>
  <c r="F41" i="13" s="1"/>
  <c r="G26" i="10"/>
  <c r="H26" i="10"/>
  <c r="J48" i="2"/>
  <c r="J72" i="2"/>
  <c r="J62" i="2"/>
  <c r="J46" i="2"/>
  <c r="G12" i="10"/>
  <c r="G47" i="10" s="1"/>
  <c r="K97" i="3"/>
  <c r="V11" i="9"/>
  <c r="AB11" i="9"/>
  <c r="AC11" i="9"/>
  <c r="AA11" i="9"/>
  <c r="AD13" i="9"/>
  <c r="AD50" i="9"/>
  <c r="AD123" i="9"/>
  <c r="AD15" i="9"/>
  <c r="AD113" i="9"/>
  <c r="AD30" i="9"/>
  <c r="AD53" i="9"/>
  <c r="AD122" i="9"/>
  <c r="AD64" i="9"/>
  <c r="AD141" i="9"/>
  <c r="AD24" i="9"/>
  <c r="AD146" i="9"/>
  <c r="AD80" i="9"/>
  <c r="AD54" i="9"/>
  <c r="AD105" i="9"/>
  <c r="AD115" i="9"/>
  <c r="AD19" i="9"/>
  <c r="AD18" i="9"/>
  <c r="AD140" i="9"/>
  <c r="AD44" i="9"/>
  <c r="AD31" i="9"/>
  <c r="AD78" i="9"/>
  <c r="AD134" i="9"/>
  <c r="AD83" i="9"/>
  <c r="AD82" i="9"/>
  <c r="AD138" i="9"/>
  <c r="AD42" i="9"/>
  <c r="AD73" i="9"/>
  <c r="AD142" i="9"/>
  <c r="AD101" i="9"/>
  <c r="AD89" i="9"/>
  <c r="AD91" i="9"/>
  <c r="AD106" i="9"/>
  <c r="AD81" i="9"/>
  <c r="AD108" i="9"/>
  <c r="AD97" i="9"/>
  <c r="AD69" i="9"/>
  <c r="AD94" i="9"/>
  <c r="AD67" i="9"/>
  <c r="AD143" i="9"/>
  <c r="AD103" i="9"/>
  <c r="AD48" i="9"/>
  <c r="AD125" i="9"/>
  <c r="AD79" i="9"/>
  <c r="AD62" i="9"/>
  <c r="AD118" i="9"/>
  <c r="AD22" i="9"/>
  <c r="AD110" i="9"/>
  <c r="AD75" i="9"/>
  <c r="AD114" i="9"/>
  <c r="AD133" i="9"/>
  <c r="AD130" i="9"/>
  <c r="AD34" i="9"/>
  <c r="AD132" i="9"/>
  <c r="AD36" i="9"/>
  <c r="AD92" i="9"/>
  <c r="AD29" i="9"/>
  <c r="AD40" i="9"/>
  <c r="AD128" i="9"/>
  <c r="AD32" i="9"/>
  <c r="AD43" i="9"/>
  <c r="AD100" i="9"/>
  <c r="AD87" i="9"/>
  <c r="AD59" i="9"/>
  <c r="AD37" i="9"/>
  <c r="AD96" i="9"/>
  <c r="AD35" i="9"/>
  <c r="AD98" i="9"/>
  <c r="AD51" i="9"/>
  <c r="AD55" i="9"/>
  <c r="AD52" i="9"/>
  <c r="AD77" i="9"/>
  <c r="AD99" i="9"/>
  <c r="AD49" i="9"/>
  <c r="AD137" i="9"/>
  <c r="AD63" i="9"/>
  <c r="AD116" i="9"/>
  <c r="AD20" i="9"/>
  <c r="AD76" i="9"/>
  <c r="AD139" i="9"/>
  <c r="AD68" i="9"/>
  <c r="AD21" i="9"/>
  <c r="AD16" i="9"/>
  <c r="AD72" i="9"/>
  <c r="AD119" i="9"/>
  <c r="AD88" i="9"/>
  <c r="AD71" i="9"/>
  <c r="AD90" i="9"/>
  <c r="AD145" i="9"/>
  <c r="AD144" i="9"/>
  <c r="AD136" i="9"/>
  <c r="AD14" i="9"/>
  <c r="J24" i="10" s="1"/>
  <c r="AD70" i="9"/>
  <c r="AD57" i="9"/>
  <c r="AD126" i="9"/>
  <c r="AD58" i="9"/>
  <c r="AD33" i="9"/>
  <c r="AD102" i="9"/>
  <c r="AD109" i="9"/>
  <c r="AD38" i="9"/>
  <c r="AD45" i="9"/>
  <c r="AD56" i="9"/>
  <c r="AD124" i="9"/>
  <c r="AD111" i="9"/>
  <c r="AD117" i="9"/>
  <c r="AD120" i="9"/>
  <c r="AD107" i="9"/>
  <c r="AD41" i="9"/>
  <c r="AD74" i="9"/>
  <c r="AD131" i="9"/>
  <c r="AD66" i="9"/>
  <c r="AD85" i="9"/>
  <c r="AD26" i="9"/>
  <c r="AD112" i="9"/>
  <c r="AD127" i="9"/>
  <c r="AD46" i="9"/>
  <c r="AD65" i="9"/>
  <c r="AD17" i="9"/>
  <c r="J27" i="10" s="1"/>
  <c r="AD86" i="9"/>
  <c r="AD93" i="9"/>
  <c r="AD104" i="9"/>
  <c r="AD23" i="9"/>
  <c r="AD129" i="9"/>
  <c r="AD28" i="9"/>
  <c r="AD27" i="9"/>
  <c r="AD84" i="9"/>
  <c r="AD95" i="9"/>
  <c r="AD61" i="9"/>
  <c r="AD60" i="9"/>
  <c r="AD47" i="9"/>
  <c r="AD121" i="9"/>
  <c r="AD25" i="9"/>
  <c r="AD135" i="9"/>
  <c r="AD39" i="9"/>
  <c r="J65" i="11"/>
  <c r="I165" i="3"/>
  <c r="J165" i="3"/>
  <c r="F57" i="16" s="1"/>
  <c r="H17" i="10"/>
  <c r="H52" i="10" s="1"/>
  <c r="AA112" i="4" l="1"/>
  <c r="AD440" i="5"/>
  <c r="AA191" i="6"/>
  <c r="Y280" i="6"/>
  <c r="AD454" i="5"/>
  <c r="AD320" i="5"/>
  <c r="AD473" i="5"/>
  <c r="AD438" i="5"/>
  <c r="AD288" i="5"/>
  <c r="AA233" i="6"/>
  <c r="AD425" i="5"/>
  <c r="AD290" i="5"/>
  <c r="AD407" i="5"/>
  <c r="Y434" i="5"/>
  <c r="AB434" i="5" s="1"/>
  <c r="AC434" i="5" s="1"/>
  <c r="AD449" i="5"/>
  <c r="AD401" i="5"/>
  <c r="AD366" i="5"/>
  <c r="AD378" i="5"/>
  <c r="AD447" i="5"/>
  <c r="AD433" i="5"/>
  <c r="AD422" i="5"/>
  <c r="F36" i="14"/>
  <c r="AD332" i="5"/>
  <c r="AD330" i="5"/>
  <c r="AD370" i="5"/>
  <c r="AD443" i="5"/>
  <c r="AD474" i="5"/>
  <c r="AD436" i="5"/>
  <c r="AB455" i="5"/>
  <c r="AA455" i="5"/>
  <c r="AB443" i="5"/>
  <c r="AA443" i="5"/>
  <c r="AB472" i="5"/>
  <c r="AA472" i="5"/>
  <c r="P181" i="4"/>
  <c r="J23" i="16"/>
  <c r="AA423" i="5"/>
  <c r="AB423" i="5"/>
  <c r="AA422" i="5"/>
  <c r="AB422" i="5"/>
  <c r="AB468" i="5"/>
  <c r="AA468" i="5"/>
  <c r="AD296" i="5"/>
  <c r="F29" i="16"/>
  <c r="K75" i="14"/>
  <c r="Y180" i="4"/>
  <c r="AF180" i="4"/>
  <c r="AG400" i="5"/>
  <c r="AH400" i="5" s="1"/>
  <c r="F467" i="5"/>
  <c r="AG467" i="5" s="1"/>
  <c r="AH467" i="5" s="1"/>
  <c r="AG396" i="5"/>
  <c r="AH396" i="5" s="1"/>
  <c r="F463" i="5"/>
  <c r="AG463" i="5" s="1"/>
  <c r="AH463" i="5" s="1"/>
  <c r="AG366" i="5"/>
  <c r="AH366" i="5" s="1"/>
  <c r="F433" i="5"/>
  <c r="AG433" i="5" s="1"/>
  <c r="AH433" i="5" s="1"/>
  <c r="AF464" i="5"/>
  <c r="Y464" i="5"/>
  <c r="AG379" i="5"/>
  <c r="AH379" i="5" s="1"/>
  <c r="F446" i="5"/>
  <c r="AG446" i="5" s="1"/>
  <c r="AH446" i="5" s="1"/>
  <c r="AG384" i="5"/>
  <c r="AH384" i="5" s="1"/>
  <c r="F451" i="5"/>
  <c r="AG451" i="5" s="1"/>
  <c r="AH451" i="5" s="1"/>
  <c r="AG402" i="5"/>
  <c r="AH402" i="5" s="1"/>
  <c r="F469" i="5"/>
  <c r="AG469" i="5" s="1"/>
  <c r="AH469" i="5" s="1"/>
  <c r="AF285" i="6"/>
  <c r="H327" i="6"/>
  <c r="AA424" i="5"/>
  <c r="AB424" i="5"/>
  <c r="AD312" i="6"/>
  <c r="AA434" i="5"/>
  <c r="Y465" i="5"/>
  <c r="Y466" i="5"/>
  <c r="AB328" i="5"/>
  <c r="AC328" i="5" s="1"/>
  <c r="AD300" i="5"/>
  <c r="AG355" i="5"/>
  <c r="AH355" i="5" s="1"/>
  <c r="F422" i="5"/>
  <c r="AG422" i="5" s="1"/>
  <c r="AH422" i="5" s="1"/>
  <c r="Y459" i="5"/>
  <c r="AF459" i="5"/>
  <c r="AD381" i="5"/>
  <c r="Y467" i="5"/>
  <c r="AF467" i="5"/>
  <c r="Y231" i="6"/>
  <c r="AA231" i="6" s="1"/>
  <c r="AD371" i="5"/>
  <c r="AG358" i="5"/>
  <c r="AH358" i="5" s="1"/>
  <c r="F425" i="5"/>
  <c r="AG425" i="5" s="1"/>
  <c r="AH425" i="5" s="1"/>
  <c r="AD405" i="5"/>
  <c r="AD357" i="5"/>
  <c r="AG367" i="5"/>
  <c r="AH367" i="5" s="1"/>
  <c r="F434" i="5"/>
  <c r="AG434" i="5" s="1"/>
  <c r="AH434" i="5" s="1"/>
  <c r="AG369" i="5"/>
  <c r="AH369" i="5" s="1"/>
  <c r="F436" i="5"/>
  <c r="AG436" i="5" s="1"/>
  <c r="AH436" i="5" s="1"/>
  <c r="AG359" i="5"/>
  <c r="AH359" i="5" s="1"/>
  <c r="F426" i="5"/>
  <c r="AG426" i="5" s="1"/>
  <c r="AH426" i="5" s="1"/>
  <c r="AG404" i="5"/>
  <c r="AH404" i="5" s="1"/>
  <c r="F471" i="5"/>
  <c r="AG471" i="5" s="1"/>
  <c r="AH471" i="5" s="1"/>
  <c r="Y463" i="5"/>
  <c r="AF463" i="5"/>
  <c r="AD356" i="5"/>
  <c r="AG393" i="5"/>
  <c r="AH393" i="5" s="1"/>
  <c r="F460" i="5"/>
  <c r="AG460" i="5" s="1"/>
  <c r="AH460" i="5" s="1"/>
  <c r="AG273" i="6"/>
  <c r="AH273" i="6" s="1"/>
  <c r="F315" i="6"/>
  <c r="AG315" i="6" s="1"/>
  <c r="AH315" i="6" s="1"/>
  <c r="AF275" i="6"/>
  <c r="H317" i="6"/>
  <c r="AF280" i="6"/>
  <c r="H322" i="6"/>
  <c r="AF295" i="6"/>
  <c r="H337" i="6"/>
  <c r="AD446" i="5"/>
  <c r="AA456" i="5"/>
  <c r="AB456" i="5"/>
  <c r="Y453" i="5"/>
  <c r="Y458" i="5"/>
  <c r="AD472" i="5"/>
  <c r="Y448" i="5"/>
  <c r="Y438" i="5"/>
  <c r="AD435" i="5"/>
  <c r="Y457" i="5"/>
  <c r="K46" i="16"/>
  <c r="N27" i="3"/>
  <c r="N28" i="3" s="1"/>
  <c r="AD464" i="5"/>
  <c r="AD442" i="5"/>
  <c r="AH312" i="6"/>
  <c r="AD432" i="5"/>
  <c r="AG377" i="5"/>
  <c r="AH377" i="5" s="1"/>
  <c r="F444" i="5"/>
  <c r="AG444" i="5" s="1"/>
  <c r="AH444" i="5" s="1"/>
  <c r="AG385" i="5"/>
  <c r="AH385" i="5" s="1"/>
  <c r="F452" i="5"/>
  <c r="AG452" i="5" s="1"/>
  <c r="AH452" i="5" s="1"/>
  <c r="AG398" i="5"/>
  <c r="AH398" i="5" s="1"/>
  <c r="F465" i="5"/>
  <c r="AG465" i="5" s="1"/>
  <c r="AH465" i="5" s="1"/>
  <c r="AG389" i="5"/>
  <c r="AH389" i="5" s="1"/>
  <c r="F456" i="5"/>
  <c r="AG456" i="5" s="1"/>
  <c r="AH456" i="5" s="1"/>
  <c r="AG376" i="5"/>
  <c r="AH376" i="5" s="1"/>
  <c r="F443" i="5"/>
  <c r="AG443" i="5" s="1"/>
  <c r="AH443" i="5" s="1"/>
  <c r="Y426" i="5"/>
  <c r="AF426" i="5"/>
  <c r="AG357" i="5"/>
  <c r="AH357" i="5" s="1"/>
  <c r="F424" i="5"/>
  <c r="AG424" i="5" s="1"/>
  <c r="AH424" i="5" s="1"/>
  <c r="Y435" i="5"/>
  <c r="AF435" i="5"/>
  <c r="AI467" i="5"/>
  <c r="AJ467" i="5" s="1"/>
  <c r="AK467" i="5"/>
  <c r="AL467" i="5" s="1"/>
  <c r="AM467" i="5" s="1"/>
  <c r="M16" i="7"/>
  <c r="M19" i="7" s="1"/>
  <c r="M41" i="7" s="1"/>
  <c r="M46" i="7" s="1"/>
  <c r="M55" i="7" s="1"/>
  <c r="L43" i="2"/>
  <c r="AF271" i="6"/>
  <c r="H313" i="6"/>
  <c r="AD171" i="4"/>
  <c r="N181" i="4"/>
  <c r="AB436" i="5"/>
  <c r="AA436" i="5"/>
  <c r="Y428" i="5"/>
  <c r="AD430" i="5"/>
  <c r="AB440" i="5"/>
  <c r="AA440" i="5"/>
  <c r="AG387" i="5"/>
  <c r="AH387" i="5" s="1"/>
  <c r="F454" i="5"/>
  <c r="AG454" i="5" s="1"/>
  <c r="AH454" i="5" s="1"/>
  <c r="AD372" i="5"/>
  <c r="K63" i="2"/>
  <c r="K68" i="2" s="1"/>
  <c r="AG362" i="5"/>
  <c r="AH362" i="5" s="1"/>
  <c r="F429" i="5"/>
  <c r="AG429" i="5" s="1"/>
  <c r="AH429" i="5" s="1"/>
  <c r="Y437" i="5"/>
  <c r="AF437" i="5"/>
  <c r="AG365" i="5"/>
  <c r="AH365" i="5" s="1"/>
  <c r="F432" i="5"/>
  <c r="AG432" i="5" s="1"/>
  <c r="AH432" i="5" s="1"/>
  <c r="Y442" i="5"/>
  <c r="AF442" i="5"/>
  <c r="AG401" i="5"/>
  <c r="AH401" i="5" s="1"/>
  <c r="F468" i="5"/>
  <c r="AG468" i="5" s="1"/>
  <c r="AH468" i="5" s="1"/>
  <c r="AG364" i="5"/>
  <c r="AH364" i="5" s="1"/>
  <c r="F431" i="5"/>
  <c r="AG431" i="5" s="1"/>
  <c r="AH431" i="5" s="1"/>
  <c r="AI433" i="5"/>
  <c r="AJ433" i="5" s="1"/>
  <c r="AK433" i="5"/>
  <c r="AL433" i="5" s="1"/>
  <c r="AM433" i="5" s="1"/>
  <c r="AG403" i="5"/>
  <c r="AH403" i="5" s="1"/>
  <c r="F470" i="5"/>
  <c r="AG470" i="5" s="1"/>
  <c r="AH470" i="5" s="1"/>
  <c r="AG361" i="5"/>
  <c r="AH361" i="5" s="1"/>
  <c r="F428" i="5"/>
  <c r="AG428" i="5" s="1"/>
  <c r="AH428" i="5" s="1"/>
  <c r="AG375" i="5"/>
  <c r="AH375" i="5" s="1"/>
  <c r="F442" i="5"/>
  <c r="AG442" i="5" s="1"/>
  <c r="AH442" i="5" s="1"/>
  <c r="AG363" i="5"/>
  <c r="AH363" i="5" s="1"/>
  <c r="F430" i="5"/>
  <c r="AG430" i="5" s="1"/>
  <c r="AH430" i="5" s="1"/>
  <c r="AG287" i="6"/>
  <c r="AH287" i="6" s="1"/>
  <c r="F329" i="6"/>
  <c r="AG329" i="6" s="1"/>
  <c r="AH329" i="6" s="1"/>
  <c r="Y328" i="6"/>
  <c r="AF328" i="6"/>
  <c r="AG275" i="6"/>
  <c r="AH275" i="6" s="1"/>
  <c r="F317" i="6"/>
  <c r="AG317" i="6" s="1"/>
  <c r="AH317" i="6" s="1"/>
  <c r="AG281" i="6"/>
  <c r="AH281" i="6" s="1"/>
  <c r="F323" i="6"/>
  <c r="AG323" i="6" s="1"/>
  <c r="AH323" i="6" s="1"/>
  <c r="AG289" i="6"/>
  <c r="AH289" i="6" s="1"/>
  <c r="F331" i="6"/>
  <c r="AG331" i="6" s="1"/>
  <c r="AH331" i="6" s="1"/>
  <c r="AD453" i="5"/>
  <c r="AD458" i="5"/>
  <c r="AD424" i="5"/>
  <c r="AB452" i="5"/>
  <c r="AA452" i="5"/>
  <c r="AD434" i="5"/>
  <c r="N154" i="3"/>
  <c r="L15" i="11" s="1"/>
  <c r="L63" i="11"/>
  <c r="AD444" i="5"/>
  <c r="AD470" i="5"/>
  <c r="AD460" i="5"/>
  <c r="AB451" i="5"/>
  <c r="AA451" i="5"/>
  <c r="N27" i="7"/>
  <c r="N30" i="7" s="1"/>
  <c r="AD445" i="5"/>
  <c r="Y432" i="5"/>
  <c r="AF449" i="5"/>
  <c r="Y449" i="5"/>
  <c r="AG399" i="5"/>
  <c r="AH399" i="5" s="1"/>
  <c r="F466" i="5"/>
  <c r="AG466" i="5" s="1"/>
  <c r="AH466" i="5" s="1"/>
  <c r="AG371" i="5"/>
  <c r="AH371" i="5" s="1"/>
  <c r="F438" i="5"/>
  <c r="AG438" i="5" s="1"/>
  <c r="AH438" i="5" s="1"/>
  <c r="AG391" i="5"/>
  <c r="AH391" i="5" s="1"/>
  <c r="F458" i="5"/>
  <c r="AG458" i="5" s="1"/>
  <c r="AH458" i="5" s="1"/>
  <c r="AG388" i="5"/>
  <c r="AH388" i="5" s="1"/>
  <c r="F455" i="5"/>
  <c r="AG455" i="5" s="1"/>
  <c r="AH455" i="5" s="1"/>
  <c r="Y471" i="5"/>
  <c r="AF471" i="5"/>
  <c r="K42" i="14"/>
  <c r="AK437" i="5"/>
  <c r="AL437" i="5" s="1"/>
  <c r="AM437" i="5" s="1"/>
  <c r="AI437" i="5"/>
  <c r="AJ437" i="5" s="1"/>
  <c r="AG382" i="5"/>
  <c r="AH382" i="5" s="1"/>
  <c r="F449" i="5"/>
  <c r="AG449" i="5" s="1"/>
  <c r="AH449" i="5" s="1"/>
  <c r="AF462" i="5"/>
  <c r="Y462" i="5"/>
  <c r="AG372" i="5"/>
  <c r="AH372" i="5" s="1"/>
  <c r="F439" i="5"/>
  <c r="AG439" i="5" s="1"/>
  <c r="AH439" i="5" s="1"/>
  <c r="AG392" i="5"/>
  <c r="AH392" i="5" s="1"/>
  <c r="F459" i="5"/>
  <c r="AG459" i="5" s="1"/>
  <c r="AH459" i="5" s="1"/>
  <c r="AD364" i="5"/>
  <c r="AD389" i="5"/>
  <c r="AF439" i="5"/>
  <c r="Y439" i="5"/>
  <c r="AG390" i="5"/>
  <c r="AH390" i="5" s="1"/>
  <c r="F457" i="5"/>
  <c r="AG457" i="5" s="1"/>
  <c r="AH457" i="5" s="1"/>
  <c r="AF173" i="4"/>
  <c r="Y173" i="4"/>
  <c r="AI470" i="5"/>
  <c r="AK470" i="5"/>
  <c r="AL470" i="5" s="1"/>
  <c r="AM470" i="5" s="1"/>
  <c r="AJ470" i="5"/>
  <c r="AG370" i="5"/>
  <c r="AH370" i="5" s="1"/>
  <c r="F437" i="5"/>
  <c r="AG437" i="5" s="1"/>
  <c r="AH437" i="5" s="1"/>
  <c r="Y446" i="5"/>
  <c r="AF446" i="5"/>
  <c r="AG383" i="5"/>
  <c r="AH383" i="5" s="1"/>
  <c r="F450" i="5"/>
  <c r="AG450" i="5" s="1"/>
  <c r="AH450" i="5" s="1"/>
  <c r="AG368" i="5"/>
  <c r="AH368" i="5" s="1"/>
  <c r="F435" i="5"/>
  <c r="AG435" i="5" s="1"/>
  <c r="AH435" i="5" s="1"/>
  <c r="K73" i="2"/>
  <c r="K78" i="2" s="1"/>
  <c r="N420" i="5"/>
  <c r="J475" i="5"/>
  <c r="AI471" i="5"/>
  <c r="AJ471" i="5" s="1"/>
  <c r="AK471" i="5"/>
  <c r="AL471" i="5" s="1"/>
  <c r="AM471" i="5" s="1"/>
  <c r="AF470" i="5"/>
  <c r="Y470" i="5"/>
  <c r="AD361" i="5"/>
  <c r="AG299" i="6"/>
  <c r="AH299" i="6" s="1"/>
  <c r="F341" i="6"/>
  <c r="AG341" i="6" s="1"/>
  <c r="AH341" i="6" s="1"/>
  <c r="AB431" i="5"/>
  <c r="AA431" i="5"/>
  <c r="AD437" i="5"/>
  <c r="Y474" i="5"/>
  <c r="Y469" i="5"/>
  <c r="P312" i="6"/>
  <c r="AD439" i="5"/>
  <c r="Y461" i="5"/>
  <c r="Y427" i="5"/>
  <c r="AF427" i="5"/>
  <c r="AG354" i="5"/>
  <c r="AH354" i="5" s="1"/>
  <c r="F421" i="5"/>
  <c r="AG421" i="5" s="1"/>
  <c r="AH421" i="5" s="1"/>
  <c r="AD399" i="5"/>
  <c r="Y445" i="5"/>
  <c r="AF445" i="5"/>
  <c r="AG380" i="5"/>
  <c r="AH380" i="5" s="1"/>
  <c r="F447" i="5"/>
  <c r="AG447" i="5" s="1"/>
  <c r="AH447" i="5" s="1"/>
  <c r="Y433" i="5"/>
  <c r="AF433" i="5"/>
  <c r="AF282" i="6"/>
  <c r="H324" i="6"/>
  <c r="AG277" i="6"/>
  <c r="AH277" i="6" s="1"/>
  <c r="F319" i="6"/>
  <c r="AG319" i="6" s="1"/>
  <c r="AH319" i="6" s="1"/>
  <c r="AF11" i="9"/>
  <c r="G59" i="16"/>
  <c r="AD298" i="5"/>
  <c r="AD377" i="5"/>
  <c r="AF460" i="5"/>
  <c r="Y460" i="5"/>
  <c r="AG360" i="5"/>
  <c r="AH360" i="5" s="1"/>
  <c r="F427" i="5"/>
  <c r="AG427" i="5" s="1"/>
  <c r="AH427" i="5" s="1"/>
  <c r="AG353" i="5"/>
  <c r="F420" i="5"/>
  <c r="AG420" i="5" s="1"/>
  <c r="AG378" i="5"/>
  <c r="AH378" i="5" s="1"/>
  <c r="F445" i="5"/>
  <c r="AG445" i="5" s="1"/>
  <c r="AH445" i="5" s="1"/>
  <c r="AF429" i="5"/>
  <c r="Y429" i="5"/>
  <c r="AG407" i="5"/>
  <c r="AH407" i="5" s="1"/>
  <c r="F474" i="5"/>
  <c r="AG474" i="5" s="1"/>
  <c r="AH474" i="5" s="1"/>
  <c r="AG395" i="5"/>
  <c r="AH395" i="5" s="1"/>
  <c r="F462" i="5"/>
  <c r="AG462" i="5" s="1"/>
  <c r="AH462" i="5" s="1"/>
  <c r="AF175" i="4"/>
  <c r="Y175" i="4"/>
  <c r="AK452" i="5"/>
  <c r="AL452" i="5" s="1"/>
  <c r="AM452" i="5" s="1"/>
  <c r="AI452" i="5"/>
  <c r="AJ452" i="5" s="1"/>
  <c r="AF450" i="5"/>
  <c r="Y450" i="5"/>
  <c r="AG386" i="5"/>
  <c r="AH386" i="5" s="1"/>
  <c r="F453" i="5"/>
  <c r="AG453" i="5" s="1"/>
  <c r="AH453" i="5" s="1"/>
  <c r="AF441" i="5"/>
  <c r="Y441" i="5"/>
  <c r="N88" i="3"/>
  <c r="L65" i="11" s="1"/>
  <c r="AG284" i="6"/>
  <c r="AH284" i="6" s="1"/>
  <c r="F326" i="6"/>
  <c r="AG326" i="6" s="1"/>
  <c r="AH326" i="6" s="1"/>
  <c r="AF270" i="6"/>
  <c r="H312" i="6"/>
  <c r="AA421" i="5"/>
  <c r="AB421" i="5"/>
  <c r="Y447" i="5"/>
  <c r="Y425" i="5"/>
  <c r="AD468" i="5"/>
  <c r="AD456" i="5"/>
  <c r="AD452" i="5"/>
  <c r="AD448" i="5"/>
  <c r="N44" i="3"/>
  <c r="Y454" i="5"/>
  <c r="Y444" i="5"/>
  <c r="Y473" i="5"/>
  <c r="AD428" i="5"/>
  <c r="AD431" i="5"/>
  <c r="Y430" i="5"/>
  <c r="AD455" i="5"/>
  <c r="AM420" i="5"/>
  <c r="AG229" i="6"/>
  <c r="F271" i="6"/>
  <c r="AF236" i="6"/>
  <c r="H278" i="6"/>
  <c r="Y278" i="6" s="1"/>
  <c r="AG249" i="6"/>
  <c r="AH249" i="6" s="1"/>
  <c r="F291" i="6"/>
  <c r="AG240" i="6"/>
  <c r="AH240" i="6" s="1"/>
  <c r="F282" i="6"/>
  <c r="AG237" i="6"/>
  <c r="AH237" i="6" s="1"/>
  <c r="F279" i="6"/>
  <c r="AF255" i="6"/>
  <c r="H297" i="6"/>
  <c r="H339" i="6" s="1"/>
  <c r="AD270" i="6"/>
  <c r="AG256" i="6"/>
  <c r="AH256" i="6" s="1"/>
  <c r="F298" i="6"/>
  <c r="AF254" i="6"/>
  <c r="H296" i="6"/>
  <c r="H338" i="6" s="1"/>
  <c r="AG248" i="6"/>
  <c r="AH248" i="6" s="1"/>
  <c r="F290" i="6"/>
  <c r="AB275" i="6"/>
  <c r="AA275" i="6"/>
  <c r="AB195" i="6"/>
  <c r="AF230" i="6"/>
  <c r="H272" i="6"/>
  <c r="H314" i="6" s="1"/>
  <c r="AF242" i="6"/>
  <c r="H284" i="6"/>
  <c r="H326" i="6" s="1"/>
  <c r="AG243" i="6"/>
  <c r="AH243" i="6" s="1"/>
  <c r="F285" i="6"/>
  <c r="AF231" i="6"/>
  <c r="H273" i="6"/>
  <c r="H315" i="6" s="1"/>
  <c r="AF241" i="6"/>
  <c r="H283" i="6"/>
  <c r="AG250" i="6"/>
  <c r="AH250" i="6" s="1"/>
  <c r="F292" i="6"/>
  <c r="AG230" i="6"/>
  <c r="AH230" i="6" s="1"/>
  <c r="F272" i="6"/>
  <c r="Y285" i="6"/>
  <c r="AF251" i="6"/>
  <c r="H293" i="6"/>
  <c r="AF248" i="6"/>
  <c r="H290" i="6"/>
  <c r="H332" i="6" s="1"/>
  <c r="AF245" i="6"/>
  <c r="H287" i="6"/>
  <c r="H329" i="6" s="1"/>
  <c r="AF234" i="6"/>
  <c r="H276" i="6"/>
  <c r="AF250" i="6"/>
  <c r="H292" i="6"/>
  <c r="H334" i="6" s="1"/>
  <c r="Y230" i="6"/>
  <c r="AB230" i="6" s="1"/>
  <c r="AG254" i="6"/>
  <c r="AH254" i="6" s="1"/>
  <c r="F296" i="6"/>
  <c r="Y254" i="6"/>
  <c r="AB254" i="6" s="1"/>
  <c r="AF232" i="6"/>
  <c r="H274" i="6"/>
  <c r="Y274" i="6" s="1"/>
  <c r="AB280" i="6"/>
  <c r="AA280" i="6"/>
  <c r="Y295" i="6"/>
  <c r="AG244" i="6"/>
  <c r="AH244" i="6" s="1"/>
  <c r="F286" i="6"/>
  <c r="AG253" i="6"/>
  <c r="AH253" i="6" s="1"/>
  <c r="F295" i="6"/>
  <c r="AF235" i="6"/>
  <c r="H277" i="6"/>
  <c r="Y277" i="6" s="1"/>
  <c r="AF239" i="6"/>
  <c r="H281" i="6"/>
  <c r="H323" i="6" s="1"/>
  <c r="Y236" i="6"/>
  <c r="AA236" i="6" s="1"/>
  <c r="AF257" i="6"/>
  <c r="H299" i="6"/>
  <c r="Y299" i="6" s="1"/>
  <c r="J258" i="6"/>
  <c r="J58" i="14" s="1"/>
  <c r="J44" i="14" s="1"/>
  <c r="J271" i="6"/>
  <c r="J313" i="6" s="1"/>
  <c r="AG251" i="6"/>
  <c r="AH251" i="6" s="1"/>
  <c r="F293" i="6"/>
  <c r="AG236" i="6"/>
  <c r="AH236" i="6" s="1"/>
  <c r="F278" i="6"/>
  <c r="AF249" i="6"/>
  <c r="H291" i="6"/>
  <c r="Y282" i="6"/>
  <c r="AG246" i="6"/>
  <c r="AH246" i="6" s="1"/>
  <c r="F288" i="6"/>
  <c r="AF237" i="6"/>
  <c r="H279" i="6"/>
  <c r="H321" i="6" s="1"/>
  <c r="AF256" i="6"/>
  <c r="H298" i="6"/>
  <c r="AG238" i="6"/>
  <c r="AH238" i="6" s="1"/>
  <c r="F280" i="6"/>
  <c r="AG241" i="6"/>
  <c r="AH241" i="6" s="1"/>
  <c r="F283" i="6"/>
  <c r="AG234" i="6"/>
  <c r="AH234" i="6" s="1"/>
  <c r="F276" i="6"/>
  <c r="AF252" i="6"/>
  <c r="H294" i="6"/>
  <c r="H336" i="6" s="1"/>
  <c r="AF246" i="6"/>
  <c r="H288" i="6"/>
  <c r="H330" i="6" s="1"/>
  <c r="AF247" i="6"/>
  <c r="H289" i="6"/>
  <c r="H331" i="6" s="1"/>
  <c r="Y286" i="6"/>
  <c r="AF286" i="6"/>
  <c r="Y293" i="6"/>
  <c r="Y247" i="6"/>
  <c r="AB247" i="6" s="1"/>
  <c r="Y232" i="6"/>
  <c r="AB232" i="6" s="1"/>
  <c r="Y257" i="6"/>
  <c r="AA257" i="6" s="1"/>
  <c r="AG216" i="6"/>
  <c r="Y250" i="6"/>
  <c r="AA250" i="6" s="1"/>
  <c r="Y246" i="6"/>
  <c r="AB246" i="6" s="1"/>
  <c r="Y239" i="6"/>
  <c r="AA239" i="6" s="1"/>
  <c r="P159" i="4"/>
  <c r="AC254" i="5"/>
  <c r="AD406" i="5"/>
  <c r="AB331" i="5"/>
  <c r="AC331" i="5" s="1"/>
  <c r="AH216" i="6"/>
  <c r="AB327" i="5"/>
  <c r="AC327" i="5" s="1"/>
  <c r="AB292" i="5"/>
  <c r="AC292" i="5" s="1"/>
  <c r="AD404" i="5"/>
  <c r="AC61" i="4"/>
  <c r="S61" i="4" s="1"/>
  <c r="S71" i="4" s="1"/>
  <c r="AC233" i="6"/>
  <c r="AD386" i="5"/>
  <c r="AB293" i="5"/>
  <c r="AC293" i="5" s="1"/>
  <c r="AA295" i="5"/>
  <c r="AC295" i="5" s="1"/>
  <c r="AB325" i="5"/>
  <c r="AB329" i="5"/>
  <c r="AB385" i="5"/>
  <c r="AA385" i="5"/>
  <c r="AA356" i="5"/>
  <c r="AB356" i="5"/>
  <c r="AG128" i="4"/>
  <c r="AH128" i="4" s="1"/>
  <c r="F150" i="4"/>
  <c r="AF400" i="5"/>
  <c r="Y400" i="5"/>
  <c r="AA376" i="5"/>
  <c r="AB376" i="5"/>
  <c r="AF381" i="5"/>
  <c r="Y381" i="5"/>
  <c r="AF361" i="5"/>
  <c r="Y361" i="5"/>
  <c r="AB355" i="5"/>
  <c r="AA355" i="5"/>
  <c r="AF380" i="5"/>
  <c r="Y380" i="5"/>
  <c r="Y321" i="5"/>
  <c r="AA321" i="5" s="1"/>
  <c r="Y318" i="5"/>
  <c r="AB318" i="5" s="1"/>
  <c r="AF158" i="4"/>
  <c r="Y158" i="4"/>
  <c r="AD149" i="4"/>
  <c r="N159" i="4"/>
  <c r="AF372" i="5"/>
  <c r="Y372" i="5"/>
  <c r="AB129" i="4"/>
  <c r="AA129" i="4"/>
  <c r="AF363" i="5"/>
  <c r="Y363" i="5"/>
  <c r="AD380" i="5"/>
  <c r="AF134" i="4"/>
  <c r="H156" i="4"/>
  <c r="H178" i="4" s="1"/>
  <c r="Y134" i="4"/>
  <c r="AF370" i="5"/>
  <c r="Y370" i="5"/>
  <c r="AF375" i="5"/>
  <c r="Y375" i="5"/>
  <c r="AA240" i="6"/>
  <c r="AB240" i="6"/>
  <c r="Y245" i="6"/>
  <c r="AB238" i="6"/>
  <c r="AA238" i="6"/>
  <c r="AK366" i="5"/>
  <c r="AL366" i="5" s="1"/>
  <c r="AM366" i="5" s="1"/>
  <c r="AI366" i="5"/>
  <c r="AJ366" i="5" s="1"/>
  <c r="AF374" i="5"/>
  <c r="Y374" i="5"/>
  <c r="AA357" i="5"/>
  <c r="AB357" i="5"/>
  <c r="AF130" i="4"/>
  <c r="Y130" i="4"/>
  <c r="H152" i="4"/>
  <c r="H174" i="4" s="1"/>
  <c r="AF396" i="5"/>
  <c r="Y396" i="5"/>
  <c r="Y302" i="5"/>
  <c r="AA302" i="5" s="1"/>
  <c r="AG127" i="4"/>
  <c r="AH127" i="4" s="1"/>
  <c r="F149" i="4"/>
  <c r="AG135" i="4"/>
  <c r="AH135" i="4" s="1"/>
  <c r="F157" i="4"/>
  <c r="AD358" i="5"/>
  <c r="Y237" i="6"/>
  <c r="P228" i="6"/>
  <c r="AD228" i="6"/>
  <c r="AF382" i="5"/>
  <c r="Y382" i="5"/>
  <c r="AD367" i="5"/>
  <c r="J408" i="5"/>
  <c r="K57" i="14" s="1"/>
  <c r="K43" i="14" s="1"/>
  <c r="N353" i="5"/>
  <c r="N408" i="5" s="1"/>
  <c r="AI404" i="5"/>
  <c r="AJ404" i="5" s="1"/>
  <c r="AK404" i="5"/>
  <c r="AL404" i="5" s="1"/>
  <c r="AM404" i="5" s="1"/>
  <c r="AF383" i="5"/>
  <c r="Y383" i="5"/>
  <c r="AF135" i="4"/>
  <c r="H157" i="4"/>
  <c r="H179" i="4" s="1"/>
  <c r="Y135" i="4"/>
  <c r="AF402" i="5"/>
  <c r="Y402" i="5"/>
  <c r="AF360" i="5"/>
  <c r="Y360" i="5"/>
  <c r="AB242" i="6"/>
  <c r="AA242" i="6"/>
  <c r="AG341" i="5"/>
  <c r="AA204" i="6"/>
  <c r="AC204" i="6" s="1"/>
  <c r="AD324" i="5"/>
  <c r="AD314" i="5"/>
  <c r="Y290" i="5"/>
  <c r="AB290" i="5" s="1"/>
  <c r="AD306" i="5"/>
  <c r="AG134" i="4"/>
  <c r="AH134" i="4" s="1"/>
  <c r="F156" i="4"/>
  <c r="AF132" i="4"/>
  <c r="Y132" i="4"/>
  <c r="H154" i="4"/>
  <c r="H176" i="4" s="1"/>
  <c r="AF399" i="5"/>
  <c r="Y399" i="5"/>
  <c r="AD382" i="5"/>
  <c r="AA384" i="5"/>
  <c r="AB384" i="5"/>
  <c r="AB231" i="6"/>
  <c r="AD376" i="5"/>
  <c r="AF133" i="4"/>
  <c r="H155" i="4"/>
  <c r="H177" i="4" s="1"/>
  <c r="Y133" i="4"/>
  <c r="AD388" i="5"/>
  <c r="Y252" i="6"/>
  <c r="AD368" i="5"/>
  <c r="AF366" i="5"/>
  <c r="Y366" i="5"/>
  <c r="AG129" i="4"/>
  <c r="AH129" i="4" s="1"/>
  <c r="F151" i="4"/>
  <c r="AF365" i="5"/>
  <c r="Y365" i="5"/>
  <c r="AD308" i="5"/>
  <c r="AD326" i="5"/>
  <c r="AG132" i="4"/>
  <c r="AH132" i="4" s="1"/>
  <c r="F154" i="4"/>
  <c r="AG131" i="4"/>
  <c r="AH131" i="4" s="1"/>
  <c r="F153" i="4"/>
  <c r="AA110" i="4"/>
  <c r="AB110" i="4"/>
  <c r="AF404" i="5"/>
  <c r="Y404" i="5"/>
  <c r="AD387" i="5"/>
  <c r="AF395" i="5"/>
  <c r="Y395" i="5"/>
  <c r="AD369" i="5"/>
  <c r="Y241" i="6"/>
  <c r="AD397" i="5"/>
  <c r="Y251" i="6"/>
  <c r="AB401" i="5"/>
  <c r="AA401" i="5"/>
  <c r="AF371" i="5"/>
  <c r="Y371" i="5"/>
  <c r="AH229" i="6"/>
  <c r="AF362" i="5"/>
  <c r="Y362" i="5"/>
  <c r="AF407" i="5"/>
  <c r="Y407" i="5"/>
  <c r="AF394" i="5"/>
  <c r="Y394" i="5"/>
  <c r="AF153" i="4"/>
  <c r="Y153" i="4"/>
  <c r="AK385" i="5"/>
  <c r="AL385" i="5" s="1"/>
  <c r="AM385" i="5" s="1"/>
  <c r="AI385" i="5"/>
  <c r="AJ385" i="5" s="1"/>
  <c r="AD373" i="5"/>
  <c r="Y235" i="6"/>
  <c r="AF391" i="5"/>
  <c r="Y391" i="5"/>
  <c r="AF358" i="5"/>
  <c r="Y358" i="5"/>
  <c r="AF387" i="5"/>
  <c r="Y387" i="5"/>
  <c r="AD379" i="5"/>
  <c r="K65" i="11"/>
  <c r="M97" i="3"/>
  <c r="K66" i="11" s="1"/>
  <c r="J57" i="14"/>
  <c r="AF379" i="5"/>
  <c r="Y379" i="5"/>
  <c r="H61" i="16"/>
  <c r="AD318" i="5"/>
  <c r="AF127" i="4"/>
  <c r="H149" i="4"/>
  <c r="AG133" i="4"/>
  <c r="AH133" i="4" s="1"/>
  <c r="F155" i="4"/>
  <c r="AA373" i="5"/>
  <c r="AB373" i="5"/>
  <c r="Y337" i="5"/>
  <c r="AA337" i="5" s="1"/>
  <c r="AD383" i="5"/>
  <c r="AB249" i="6"/>
  <c r="AA249" i="6"/>
  <c r="AA405" i="5"/>
  <c r="AB405" i="5"/>
  <c r="AB243" i="6"/>
  <c r="AA243" i="6"/>
  <c r="AB131" i="4"/>
  <c r="AA131" i="4"/>
  <c r="AD375" i="5"/>
  <c r="AF359" i="5"/>
  <c r="Y359" i="5"/>
  <c r="AF397" i="5"/>
  <c r="Y397" i="5"/>
  <c r="AM353" i="5"/>
  <c r="AD302" i="5"/>
  <c r="AG136" i="4"/>
  <c r="AH136" i="4" s="1"/>
  <c r="F158" i="4"/>
  <c r="AB388" i="5"/>
  <c r="AA388" i="5"/>
  <c r="Y255" i="6"/>
  <c r="AK370" i="5"/>
  <c r="AL370" i="5" s="1"/>
  <c r="AM370" i="5" s="1"/>
  <c r="AI370" i="5"/>
  <c r="AJ370" i="5" s="1"/>
  <c r="AB364" i="5"/>
  <c r="AA364" i="5"/>
  <c r="AA389" i="5"/>
  <c r="AC389" i="5" s="1"/>
  <c r="AF392" i="5"/>
  <c r="Y392" i="5"/>
  <c r="AK403" i="5"/>
  <c r="AL403" i="5" s="1"/>
  <c r="AM403" i="5" s="1"/>
  <c r="AI403" i="5"/>
  <c r="AJ403" i="5" s="1"/>
  <c r="AA244" i="6"/>
  <c r="AB244" i="6"/>
  <c r="K48" i="2"/>
  <c r="K46" i="2"/>
  <c r="K62" i="2"/>
  <c r="K67" i="2" s="1"/>
  <c r="K72" i="2"/>
  <c r="K77" i="2" s="1"/>
  <c r="AF128" i="4"/>
  <c r="H150" i="4"/>
  <c r="H172" i="4" s="1"/>
  <c r="Y128" i="4"/>
  <c r="AF406" i="5"/>
  <c r="Y406" i="5"/>
  <c r="AF386" i="5"/>
  <c r="Y386" i="5"/>
  <c r="AA254" i="6"/>
  <c r="AD403" i="5"/>
  <c r="AF367" i="5"/>
  <c r="Y367" i="5"/>
  <c r="Y248" i="6"/>
  <c r="AF377" i="5"/>
  <c r="Y377" i="5"/>
  <c r="AF390" i="5"/>
  <c r="Y390" i="5"/>
  <c r="AF378" i="5"/>
  <c r="Y378" i="5"/>
  <c r="AI400" i="5"/>
  <c r="AJ400" i="5" s="1"/>
  <c r="AK400" i="5"/>
  <c r="AL400" i="5" s="1"/>
  <c r="AM400" i="5" s="1"/>
  <c r="AB369" i="5"/>
  <c r="AA369" i="5"/>
  <c r="P229" i="6"/>
  <c r="T229" i="6"/>
  <c r="N229" i="6"/>
  <c r="AD229" i="6" s="1"/>
  <c r="I229" i="6"/>
  <c r="Y229" i="6" s="1"/>
  <c r="S229" i="6"/>
  <c r="R229" i="6"/>
  <c r="Y297" i="5"/>
  <c r="AA297" i="5" s="1"/>
  <c r="AG130" i="4"/>
  <c r="AH130" i="4" s="1"/>
  <c r="F152" i="4"/>
  <c r="AB136" i="4"/>
  <c r="AA136" i="4"/>
  <c r="AF393" i="5"/>
  <c r="Y393" i="5"/>
  <c r="AA354" i="5"/>
  <c r="AB354" i="5"/>
  <c r="AF151" i="4"/>
  <c r="Y151" i="4"/>
  <c r="Y234" i="6"/>
  <c r="Y256" i="6"/>
  <c r="AF403" i="5"/>
  <c r="Y403" i="5"/>
  <c r="AB253" i="6"/>
  <c r="AA253" i="6"/>
  <c r="AD365" i="5"/>
  <c r="Y313" i="5"/>
  <c r="AB313" i="5" s="1"/>
  <c r="AF368" i="5"/>
  <c r="Y368" i="5"/>
  <c r="AD391" i="5"/>
  <c r="AF398" i="5"/>
  <c r="Y398" i="5"/>
  <c r="AA83" i="4"/>
  <c r="AB83" i="4"/>
  <c r="R83" i="4" s="1"/>
  <c r="I29" i="10"/>
  <c r="L19" i="3"/>
  <c r="L21" i="3"/>
  <c r="L20" i="3"/>
  <c r="K26" i="10"/>
  <c r="R61" i="4"/>
  <c r="H198" i="7"/>
  <c r="F70" i="11" s="1"/>
  <c r="J51" i="10"/>
  <c r="K16" i="10" s="1"/>
  <c r="K51" i="10" s="1"/>
  <c r="L16" i="10" s="1"/>
  <c r="L51" i="10" s="1"/>
  <c r="G49" i="10"/>
  <c r="H14" i="10" s="1"/>
  <c r="H49" i="10" s="1"/>
  <c r="I14" i="10" s="1"/>
  <c r="J48" i="10"/>
  <c r="K13" i="10" s="1"/>
  <c r="K48" i="10" s="1"/>
  <c r="L13" i="10" s="1"/>
  <c r="L48" i="10" s="1"/>
  <c r="G50" i="10"/>
  <c r="H15" i="10" s="1"/>
  <c r="H50" i="10" s="1"/>
  <c r="I15" i="10" s="1"/>
  <c r="L113" i="7"/>
  <c r="J40" i="10"/>
  <c r="J42" i="10" s="1"/>
  <c r="J24" i="11" s="1"/>
  <c r="I29" i="16" s="1"/>
  <c r="M113" i="7"/>
  <c r="M198" i="7" s="1"/>
  <c r="M201" i="7" s="1"/>
  <c r="K40" i="10"/>
  <c r="M15" i="3"/>
  <c r="N15" i="3" s="1"/>
  <c r="N21" i="3" s="1"/>
  <c r="P127" i="4"/>
  <c r="P137" i="4" s="1"/>
  <c r="Y105" i="4"/>
  <c r="Y115" i="4" s="1"/>
  <c r="AA115" i="4" s="1"/>
  <c r="AB205" i="6"/>
  <c r="AC205" i="6" s="1"/>
  <c r="I159" i="3"/>
  <c r="G49" i="11" s="1"/>
  <c r="F62" i="16" s="1"/>
  <c r="J23" i="3"/>
  <c r="AA231" i="5"/>
  <c r="AC231" i="5" s="1"/>
  <c r="AA214" i="6"/>
  <c r="AC214" i="6" s="1"/>
  <c r="AA271" i="5"/>
  <c r="AC271" i="5" s="1"/>
  <c r="AB222" i="5"/>
  <c r="AC222" i="5" s="1"/>
  <c r="AC228" i="5"/>
  <c r="AC239" i="5"/>
  <c r="AB251" i="5"/>
  <c r="AC251" i="5" s="1"/>
  <c r="AA235" i="5"/>
  <c r="AC235" i="5" s="1"/>
  <c r="I64" i="3"/>
  <c r="AC227" i="5"/>
  <c r="AA225" i="5"/>
  <c r="AC225" i="5" s="1"/>
  <c r="AB246" i="5"/>
  <c r="AC246" i="5" s="1"/>
  <c r="AB224" i="5"/>
  <c r="AC224" i="5" s="1"/>
  <c r="AA266" i="5"/>
  <c r="AC266" i="5" s="1"/>
  <c r="AB226" i="5"/>
  <c r="AC226" i="5" s="1"/>
  <c r="AB223" i="5"/>
  <c r="AC223" i="5" s="1"/>
  <c r="AA233" i="5"/>
  <c r="AC233" i="5" s="1"/>
  <c r="K76" i="2"/>
  <c r="M30" i="7"/>
  <c r="M32" i="7" s="1"/>
  <c r="M38" i="7" s="1"/>
  <c r="M58" i="7" s="1"/>
  <c r="M44" i="3"/>
  <c r="N169" i="3" s="1"/>
  <c r="M205" i="7"/>
  <c r="K50" i="11"/>
  <c r="J63" i="16" s="1"/>
  <c r="L169" i="3"/>
  <c r="J198" i="7"/>
  <c r="J201" i="7" s="1"/>
  <c r="J176" i="7"/>
  <c r="H20" i="13"/>
  <c r="I198" i="7"/>
  <c r="I201" i="7" s="1"/>
  <c r="J47" i="3"/>
  <c r="J52" i="3" s="1"/>
  <c r="J61" i="3" s="1"/>
  <c r="J159" i="3" s="1"/>
  <c r="H49" i="11" s="1"/>
  <c r="G62" i="16" s="1"/>
  <c r="T84" i="5"/>
  <c r="AB192" i="6"/>
  <c r="AC192" i="6" s="1"/>
  <c r="AA164" i="6"/>
  <c r="AC164" i="6" s="1"/>
  <c r="AD319" i="5"/>
  <c r="AA170" i="6"/>
  <c r="AC170" i="6" s="1"/>
  <c r="AD311" i="5"/>
  <c r="AC249" i="5"/>
  <c r="AA206" i="6"/>
  <c r="AC206" i="6" s="1"/>
  <c r="AB144" i="6"/>
  <c r="AC144" i="6" s="1"/>
  <c r="S144" i="6" s="1"/>
  <c r="AC150" i="6"/>
  <c r="AA259" i="5"/>
  <c r="AC259" i="5" s="1"/>
  <c r="AB258" i="5"/>
  <c r="AC258" i="5" s="1"/>
  <c r="Y201" i="6"/>
  <c r="AA201" i="6" s="1"/>
  <c r="Y208" i="6"/>
  <c r="AA208" i="6" s="1"/>
  <c r="Y202" i="6"/>
  <c r="AA202" i="6" s="1"/>
  <c r="AA298" i="5"/>
  <c r="AA289" i="5"/>
  <c r="AB311" i="5"/>
  <c r="AA300" i="5"/>
  <c r="AB306" i="5"/>
  <c r="AB326" i="5"/>
  <c r="AC243" i="5"/>
  <c r="AC166" i="6"/>
  <c r="AC114" i="4"/>
  <c r="AA332" i="5"/>
  <c r="AA255" i="5"/>
  <c r="AC255" i="5" s="1"/>
  <c r="AA154" i="6"/>
  <c r="AC154" i="6" s="1"/>
  <c r="I353" i="5"/>
  <c r="Y353" i="5" s="1"/>
  <c r="AA294" i="5"/>
  <c r="Y196" i="6"/>
  <c r="AB196" i="6" s="1"/>
  <c r="K9" i="13"/>
  <c r="H29" i="10"/>
  <c r="AE11" i="9"/>
  <c r="K25" i="10"/>
  <c r="AC212" i="6"/>
  <c r="AC247" i="5"/>
  <c r="AC270" i="5"/>
  <c r="I127" i="4"/>
  <c r="AD303" i="5"/>
  <c r="AD301" i="5"/>
  <c r="AB186" i="6"/>
  <c r="I228" i="6"/>
  <c r="AD313" i="5"/>
  <c r="I59" i="16"/>
  <c r="I128" i="4"/>
  <c r="AD128" i="4"/>
  <c r="N137" i="4"/>
  <c r="AC147" i="6"/>
  <c r="AC162" i="6"/>
  <c r="AC159" i="6"/>
  <c r="AC172" i="6"/>
  <c r="P174" i="6"/>
  <c r="AA113" i="4"/>
  <c r="AC113" i="4" s="1"/>
  <c r="AD297" i="5"/>
  <c r="AD289" i="5"/>
  <c r="AD315" i="5"/>
  <c r="AD291" i="5"/>
  <c r="AD340" i="5"/>
  <c r="AD321" i="5"/>
  <c r="AD336" i="5"/>
  <c r="AC267" i="5"/>
  <c r="AB189" i="6"/>
  <c r="AA189" i="6"/>
  <c r="AA316" i="5"/>
  <c r="AB316" i="5"/>
  <c r="AB330" i="5"/>
  <c r="AA330" i="5"/>
  <c r="AB315" i="5"/>
  <c r="AA315" i="5"/>
  <c r="AA291" i="5"/>
  <c r="AB291" i="5"/>
  <c r="AB314" i="5"/>
  <c r="AA314" i="5"/>
  <c r="AA198" i="6"/>
  <c r="AB198" i="6"/>
  <c r="AB188" i="6"/>
  <c r="AA188" i="6"/>
  <c r="AD337" i="5"/>
  <c r="AD338" i="5"/>
  <c r="AD304" i="5"/>
  <c r="K16" i="8"/>
  <c r="K19" i="8" s="1"/>
  <c r="K38" i="12"/>
  <c r="K42" i="12" s="1"/>
  <c r="J38" i="16" s="1"/>
  <c r="AD316" i="5"/>
  <c r="K158" i="3"/>
  <c r="AD299" i="5"/>
  <c r="AD294" i="5"/>
  <c r="AC263" i="5"/>
  <c r="AA338" i="5"/>
  <c r="AB338" i="5"/>
  <c r="AD310" i="5"/>
  <c r="AD339" i="5"/>
  <c r="AD305" i="5"/>
  <c r="AD322" i="5"/>
  <c r="AC146" i="6"/>
  <c r="AB200" i="6"/>
  <c r="AA200" i="6"/>
  <c r="AD334" i="5"/>
  <c r="AA334" i="5"/>
  <c r="AB334" i="5"/>
  <c r="AA322" i="5"/>
  <c r="AB322" i="5"/>
  <c r="AC158" i="6"/>
  <c r="H59" i="16"/>
  <c r="AD312" i="5"/>
  <c r="AD309" i="5"/>
  <c r="AB310" i="5"/>
  <c r="AA310" i="5"/>
  <c r="I29" i="13"/>
  <c r="G75" i="14"/>
  <c r="H75" i="14"/>
  <c r="F18" i="13"/>
  <c r="F31" i="13" s="1"/>
  <c r="F49" i="13" s="1"/>
  <c r="F52" i="13" s="1"/>
  <c r="G32" i="12"/>
  <c r="H63" i="14"/>
  <c r="H11" i="14"/>
  <c r="H21" i="14"/>
  <c r="H40" i="14"/>
  <c r="I63" i="14"/>
  <c r="I11" i="14"/>
  <c r="I21" i="14"/>
  <c r="I40" i="14"/>
  <c r="S139" i="5"/>
  <c r="AC112" i="4"/>
  <c r="AC230" i="5"/>
  <c r="AC333" i="5"/>
  <c r="AC256" i="5"/>
  <c r="AC250" i="5"/>
  <c r="AC262" i="5"/>
  <c r="AC236" i="5"/>
  <c r="J25" i="10"/>
  <c r="AC245" i="5"/>
  <c r="AC229" i="5"/>
  <c r="AC90" i="4"/>
  <c r="I20" i="13"/>
  <c r="R152" i="5"/>
  <c r="AC152" i="5"/>
  <c r="S152" i="5" s="1"/>
  <c r="AC260" i="5"/>
  <c r="AC329" i="5"/>
  <c r="AC253" i="5"/>
  <c r="AC240" i="5"/>
  <c r="AC248" i="5"/>
  <c r="AC244" i="5"/>
  <c r="AC238" i="5"/>
  <c r="AC152" i="6"/>
  <c r="AC195" i="6"/>
  <c r="AC187" i="6"/>
  <c r="T102" i="6"/>
  <c r="T132" i="6" s="1"/>
  <c r="I111" i="3" s="1"/>
  <c r="P186" i="6"/>
  <c r="P105" i="4"/>
  <c r="P115" i="4" s="1"/>
  <c r="AC151" i="6"/>
  <c r="AC171" i="6"/>
  <c r="AC155" i="6"/>
  <c r="AC168" i="6"/>
  <c r="AC160" i="6"/>
  <c r="AC161" i="6"/>
  <c r="AA199" i="6"/>
  <c r="AB199" i="6"/>
  <c r="AA215" i="6"/>
  <c r="AB215" i="6"/>
  <c r="AB194" i="6"/>
  <c r="AA194" i="6"/>
  <c r="AA203" i="6"/>
  <c r="AB203" i="6"/>
  <c r="AC165" i="6"/>
  <c r="AB210" i="6"/>
  <c r="AA210" i="6"/>
  <c r="AA213" i="6"/>
  <c r="AB213" i="6"/>
  <c r="AA209" i="6"/>
  <c r="AB209" i="6"/>
  <c r="AA211" i="6"/>
  <c r="AB211" i="6"/>
  <c r="AB190" i="6"/>
  <c r="AA190" i="6"/>
  <c r="AA207" i="6"/>
  <c r="AB207" i="6"/>
  <c r="AA197" i="6"/>
  <c r="AB197" i="6"/>
  <c r="AA193" i="6"/>
  <c r="AB193" i="6"/>
  <c r="AC191" i="6"/>
  <c r="AC173" i="6"/>
  <c r="AC169" i="6"/>
  <c r="AC148" i="6"/>
  <c r="AC157" i="6"/>
  <c r="AC163" i="6"/>
  <c r="AC167" i="6"/>
  <c r="S145" i="6"/>
  <c r="P187" i="6"/>
  <c r="R187" i="6" s="1"/>
  <c r="AC257" i="5"/>
  <c r="AC221" i="5"/>
  <c r="AA336" i="5"/>
  <c r="AB336" i="5"/>
  <c r="AA340" i="5"/>
  <c r="AB340" i="5"/>
  <c r="AB323" i="5"/>
  <c r="AA323" i="5"/>
  <c r="AA339" i="5"/>
  <c r="AB339" i="5"/>
  <c r="AA288" i="5"/>
  <c r="AB288" i="5"/>
  <c r="AB312" i="5"/>
  <c r="AA312" i="5"/>
  <c r="AB308" i="5"/>
  <c r="AA308" i="5"/>
  <c r="AC265" i="5"/>
  <c r="AC241" i="5"/>
  <c r="AC232" i="5"/>
  <c r="AC269" i="5"/>
  <c r="AC252" i="5"/>
  <c r="AC242" i="5"/>
  <c r="AC325" i="5"/>
  <c r="AC272" i="5"/>
  <c r="AC234" i="5"/>
  <c r="AA320" i="5"/>
  <c r="AB320" i="5"/>
  <c r="AA309" i="5"/>
  <c r="AB309" i="5"/>
  <c r="AB303" i="5"/>
  <c r="AA303" i="5"/>
  <c r="AB319" i="5"/>
  <c r="AA319" i="5"/>
  <c r="AA296" i="5"/>
  <c r="AB296" i="5"/>
  <c r="AB299" i="5"/>
  <c r="AA299" i="5"/>
  <c r="AA335" i="5"/>
  <c r="AB335" i="5"/>
  <c r="AB305" i="5"/>
  <c r="AA305" i="5"/>
  <c r="AB307" i="5"/>
  <c r="AA307" i="5"/>
  <c r="AB324" i="5"/>
  <c r="AA324" i="5"/>
  <c r="AB304" i="5"/>
  <c r="AA304" i="5"/>
  <c r="AA301" i="5"/>
  <c r="AB301" i="5"/>
  <c r="AA317" i="5"/>
  <c r="AB317" i="5"/>
  <c r="AC153" i="5"/>
  <c r="AC237" i="5"/>
  <c r="AC261" i="5"/>
  <c r="AC268" i="5"/>
  <c r="AC264" i="5"/>
  <c r="AC273" i="5"/>
  <c r="O286" i="5"/>
  <c r="AA219" i="5"/>
  <c r="AB219" i="5"/>
  <c r="P219" i="5"/>
  <c r="AD219" i="5"/>
  <c r="O287" i="5"/>
  <c r="S153" i="5"/>
  <c r="P220" i="5"/>
  <c r="AD220" i="5"/>
  <c r="P207" i="5"/>
  <c r="AB220" i="5"/>
  <c r="AA220" i="5"/>
  <c r="AB108" i="4"/>
  <c r="AA108" i="4"/>
  <c r="AB107" i="4"/>
  <c r="AA107" i="4"/>
  <c r="AC111" i="4"/>
  <c r="AC85" i="4"/>
  <c r="AC109" i="4"/>
  <c r="T62" i="4"/>
  <c r="AA106" i="4"/>
  <c r="AB106" i="4"/>
  <c r="R106" i="4" s="1"/>
  <c r="AC84" i="4"/>
  <c r="S84" i="4" s="1"/>
  <c r="T84" i="4" s="1"/>
  <c r="P93" i="4"/>
  <c r="N341" i="5"/>
  <c r="N216" i="6"/>
  <c r="N115" i="4"/>
  <c r="T48" i="4"/>
  <c r="H109" i="3" s="1"/>
  <c r="T89" i="6"/>
  <c r="H111" i="3" s="1"/>
  <c r="O274" i="5"/>
  <c r="H64" i="3"/>
  <c r="F75" i="14"/>
  <c r="L97" i="3"/>
  <c r="M158" i="3" s="1"/>
  <c r="K18" i="11" s="1"/>
  <c r="H195" i="7"/>
  <c r="F66" i="11" s="1"/>
  <c r="K165" i="3"/>
  <c r="G57" i="16" s="1"/>
  <c r="G29" i="10"/>
  <c r="F64" i="16" s="1"/>
  <c r="J26" i="10"/>
  <c r="J67" i="2"/>
  <c r="J77" i="2"/>
  <c r="F53" i="10"/>
  <c r="G15" i="12" s="1"/>
  <c r="G17" i="12" s="1"/>
  <c r="F35" i="16" s="1"/>
  <c r="AD11" i="9"/>
  <c r="G18" i="10"/>
  <c r="G20" i="13"/>
  <c r="H18" i="11"/>
  <c r="AB250" i="6" l="1"/>
  <c r="AA230" i="6"/>
  <c r="AC456" i="5"/>
  <c r="AG408" i="5"/>
  <c r="AC424" i="5"/>
  <c r="AC455" i="5"/>
  <c r="AC423" i="5"/>
  <c r="AH353" i="5"/>
  <c r="AH408" i="5" s="1"/>
  <c r="AB239" i="6"/>
  <c r="F35" i="14"/>
  <c r="AC275" i="6"/>
  <c r="N155" i="3"/>
  <c r="L17" i="11" s="1"/>
  <c r="K25" i="16" s="1"/>
  <c r="AC472" i="5"/>
  <c r="AG155" i="4"/>
  <c r="AH155" i="4" s="1"/>
  <c r="F177" i="4"/>
  <c r="AG177" i="4" s="1"/>
  <c r="AH177" i="4" s="1"/>
  <c r="Y174" i="4"/>
  <c r="AF174" i="4"/>
  <c r="AG290" i="6"/>
  <c r="AH290" i="6" s="1"/>
  <c r="F332" i="6"/>
  <c r="AG332" i="6" s="1"/>
  <c r="AH332" i="6" s="1"/>
  <c r="AF312" i="6"/>
  <c r="AH420" i="5"/>
  <c r="AH475" i="5" s="1"/>
  <c r="AG475" i="5"/>
  <c r="Y324" i="6"/>
  <c r="AF324" i="6"/>
  <c r="AB474" i="5"/>
  <c r="AA474" i="5"/>
  <c r="L63" i="2"/>
  <c r="L68" i="2" s="1"/>
  <c r="N16" i="7"/>
  <c r="N19" i="7" s="1"/>
  <c r="N41" i="7" s="1"/>
  <c r="N46" i="7" s="1"/>
  <c r="N55" i="7" s="1"/>
  <c r="L73" i="2"/>
  <c r="L78" i="2" s="1"/>
  <c r="L39" i="2"/>
  <c r="L40" i="2"/>
  <c r="L47" i="2" s="1"/>
  <c r="J26" i="16"/>
  <c r="AG158" i="4"/>
  <c r="AH158" i="4" s="1"/>
  <c r="F180" i="4"/>
  <c r="AG180" i="4" s="1"/>
  <c r="AH180" i="4" s="1"/>
  <c r="AG149" i="4"/>
  <c r="AH149" i="4" s="1"/>
  <c r="F171" i="4"/>
  <c r="AG171" i="4" s="1"/>
  <c r="AH171" i="4" s="1"/>
  <c r="AF178" i="4"/>
  <c r="Y178" i="4"/>
  <c r="Y330" i="6"/>
  <c r="AF330" i="6"/>
  <c r="AG283" i="6"/>
  <c r="AH283" i="6" s="1"/>
  <c r="F325" i="6"/>
  <c r="AG325" i="6" s="1"/>
  <c r="AH325" i="6" s="1"/>
  <c r="Y321" i="6"/>
  <c r="AF321" i="6"/>
  <c r="AF291" i="6"/>
  <c r="H333" i="6"/>
  <c r="Y323" i="6"/>
  <c r="AF323" i="6"/>
  <c r="AF274" i="6"/>
  <c r="H316" i="6"/>
  <c r="Y334" i="6"/>
  <c r="AF334" i="6"/>
  <c r="AG272" i="6"/>
  <c r="AH272" i="6" s="1"/>
  <c r="F314" i="6"/>
  <c r="AG314" i="6" s="1"/>
  <c r="AH314" i="6" s="1"/>
  <c r="Y315" i="6"/>
  <c r="AF315" i="6"/>
  <c r="Y314" i="6"/>
  <c r="AF314" i="6"/>
  <c r="Y339" i="6"/>
  <c r="AF339" i="6"/>
  <c r="AG291" i="6"/>
  <c r="AH291" i="6" s="1"/>
  <c r="F333" i="6"/>
  <c r="AG333" i="6" s="1"/>
  <c r="AH333" i="6" s="1"/>
  <c r="AB444" i="5"/>
  <c r="AA444" i="5"/>
  <c r="AA445" i="5"/>
  <c r="AB445" i="5"/>
  <c r="AB470" i="5"/>
  <c r="AA470" i="5"/>
  <c r="AA449" i="5"/>
  <c r="AB449" i="5"/>
  <c r="AC451" i="5"/>
  <c r="AA437" i="5"/>
  <c r="AB437" i="5"/>
  <c r="AC436" i="5"/>
  <c r="AA438" i="5"/>
  <c r="AB438" i="5"/>
  <c r="Y317" i="6"/>
  <c r="AF317" i="6"/>
  <c r="AA467" i="5"/>
  <c r="AB467" i="5"/>
  <c r="AC467" i="5" s="1"/>
  <c r="AB464" i="5"/>
  <c r="AA464" i="5"/>
  <c r="AF179" i="4"/>
  <c r="Y179" i="4"/>
  <c r="Y332" i="6"/>
  <c r="AF332" i="6"/>
  <c r="AA454" i="5"/>
  <c r="AB454" i="5"/>
  <c r="AA175" i="4"/>
  <c r="AB175" i="4"/>
  <c r="AB461" i="5"/>
  <c r="AA461" i="5"/>
  <c r="N475" i="5"/>
  <c r="AA328" i="6"/>
  <c r="AB328" i="6"/>
  <c r="AB448" i="5"/>
  <c r="AA448" i="5"/>
  <c r="Y336" i="6"/>
  <c r="AF336" i="6"/>
  <c r="AG280" i="6"/>
  <c r="AH280" i="6" s="1"/>
  <c r="F322" i="6"/>
  <c r="AG322" i="6" s="1"/>
  <c r="AH322" i="6" s="1"/>
  <c r="AG288" i="6"/>
  <c r="AH288" i="6" s="1"/>
  <c r="F330" i="6"/>
  <c r="AG330" i="6" s="1"/>
  <c r="AH330" i="6" s="1"/>
  <c r="AG278" i="6"/>
  <c r="AH278" i="6" s="1"/>
  <c r="F320" i="6"/>
  <c r="AG320" i="6" s="1"/>
  <c r="AH320" i="6" s="1"/>
  <c r="AF277" i="6"/>
  <c r="H319" i="6"/>
  <c r="AF276" i="6"/>
  <c r="H318" i="6"/>
  <c r="AG292" i="6"/>
  <c r="AH292" i="6" s="1"/>
  <c r="F334" i="6"/>
  <c r="AG334" i="6" s="1"/>
  <c r="AH334" i="6" s="1"/>
  <c r="AG285" i="6"/>
  <c r="AH285" i="6" s="1"/>
  <c r="F327" i="6"/>
  <c r="AG327" i="6" s="1"/>
  <c r="AH327" i="6" s="1"/>
  <c r="AG279" i="6"/>
  <c r="AH279" i="6" s="1"/>
  <c r="F321" i="6"/>
  <c r="AG321" i="6" s="1"/>
  <c r="AH321" i="6" s="1"/>
  <c r="AF278" i="6"/>
  <c r="H320" i="6"/>
  <c r="AB430" i="5"/>
  <c r="AA430" i="5"/>
  <c r="AA447" i="5"/>
  <c r="AB447" i="5"/>
  <c r="AA433" i="5"/>
  <c r="AB433" i="5"/>
  <c r="AC431" i="5"/>
  <c r="I420" i="5"/>
  <c r="AA439" i="5"/>
  <c r="AB439" i="5"/>
  <c r="AB471" i="5"/>
  <c r="AC471" i="5" s="1"/>
  <c r="AA471" i="5"/>
  <c r="AB432" i="5"/>
  <c r="AA432" i="5"/>
  <c r="AC452" i="5"/>
  <c r="AA442" i="5"/>
  <c r="AB442" i="5"/>
  <c r="AC442" i="5" s="1"/>
  <c r="AC440" i="5"/>
  <c r="AA426" i="5"/>
  <c r="AB426" i="5"/>
  <c r="Y337" i="6"/>
  <c r="AF337" i="6"/>
  <c r="AB463" i="5"/>
  <c r="AC463" i="5" s="1"/>
  <c r="AA463" i="5"/>
  <c r="AB466" i="5"/>
  <c r="AA466" i="5"/>
  <c r="AC468" i="5"/>
  <c r="H64" i="16"/>
  <c r="AG152" i="4"/>
  <c r="AH152" i="4" s="1"/>
  <c r="F174" i="4"/>
  <c r="AG174" i="4" s="1"/>
  <c r="AH174" i="4" s="1"/>
  <c r="AF149" i="4"/>
  <c r="H171" i="4"/>
  <c r="AF171" i="4" s="1"/>
  <c r="H60" i="16"/>
  <c r="J43" i="14"/>
  <c r="AG151" i="4"/>
  <c r="AH151" i="4" s="1"/>
  <c r="F173" i="4"/>
  <c r="AG173" i="4" s="1"/>
  <c r="AH173" i="4" s="1"/>
  <c r="AF176" i="4"/>
  <c r="Y176" i="4"/>
  <c r="R313" i="6"/>
  <c r="N313" i="6"/>
  <c r="S313" i="6"/>
  <c r="P313" i="6"/>
  <c r="P342" i="6" s="1"/>
  <c r="I313" i="6"/>
  <c r="Y313" i="6" s="1"/>
  <c r="T313" i="6"/>
  <c r="J342" i="6"/>
  <c r="AG286" i="6"/>
  <c r="AH286" i="6" s="1"/>
  <c r="F328" i="6"/>
  <c r="AG328" i="6" s="1"/>
  <c r="AH328" i="6" s="1"/>
  <c r="Y338" i="6"/>
  <c r="AF338" i="6"/>
  <c r="AA425" i="5"/>
  <c r="AB425" i="5"/>
  <c r="AA429" i="5"/>
  <c r="AB429" i="5"/>
  <c r="I37" i="13"/>
  <c r="I41" i="13" s="1"/>
  <c r="H37" i="13"/>
  <c r="H41" i="13" s="1"/>
  <c r="G64" i="16"/>
  <c r="AB302" i="5"/>
  <c r="AF172" i="4"/>
  <c r="Y172" i="4"/>
  <c r="AG153" i="4"/>
  <c r="AH153" i="4" s="1"/>
  <c r="F175" i="4"/>
  <c r="AG175" i="4" s="1"/>
  <c r="AH175" i="4" s="1"/>
  <c r="Y177" i="4"/>
  <c r="AF177" i="4"/>
  <c r="AG150" i="4"/>
  <c r="AH150" i="4" s="1"/>
  <c r="F172" i="4"/>
  <c r="AG172" i="4" s="1"/>
  <c r="AH172" i="4" s="1"/>
  <c r="AF299" i="6"/>
  <c r="H341" i="6"/>
  <c r="AG296" i="6"/>
  <c r="AH296" i="6" s="1"/>
  <c r="F338" i="6"/>
  <c r="AG338" i="6" s="1"/>
  <c r="AH338" i="6" s="1"/>
  <c r="AF293" i="6"/>
  <c r="H335" i="6"/>
  <c r="AG298" i="6"/>
  <c r="AH298" i="6" s="1"/>
  <c r="F340" i="6"/>
  <c r="AG340" i="6" s="1"/>
  <c r="AH340" i="6" s="1"/>
  <c r="AC421" i="5"/>
  <c r="AB450" i="5"/>
  <c r="AA450" i="5"/>
  <c r="AA460" i="5"/>
  <c r="AB460" i="5"/>
  <c r="G36" i="14"/>
  <c r="AF313" i="6"/>
  <c r="N97" i="3"/>
  <c r="AB458" i="5"/>
  <c r="AA458" i="5"/>
  <c r="AA459" i="5"/>
  <c r="AB459" i="5"/>
  <c r="AA465" i="5"/>
  <c r="AB465" i="5"/>
  <c r="AA180" i="4"/>
  <c r="AB180" i="4"/>
  <c r="AC422" i="5"/>
  <c r="AC443" i="5"/>
  <c r="N20" i="3"/>
  <c r="N19" i="3"/>
  <c r="AG156" i="4"/>
  <c r="AH156" i="4" s="1"/>
  <c r="F178" i="4"/>
  <c r="AG178" i="4" s="1"/>
  <c r="AH178" i="4" s="1"/>
  <c r="AG157" i="4"/>
  <c r="AH157" i="4" s="1"/>
  <c r="F179" i="4"/>
  <c r="AG179" i="4" s="1"/>
  <c r="AH179" i="4" s="1"/>
  <c r="Y331" i="6"/>
  <c r="AF331" i="6"/>
  <c r="AG276" i="6"/>
  <c r="AH276" i="6" s="1"/>
  <c r="F318" i="6"/>
  <c r="AG318" i="6" s="1"/>
  <c r="AH318" i="6" s="1"/>
  <c r="AF298" i="6"/>
  <c r="H340" i="6"/>
  <c r="AG295" i="6"/>
  <c r="AH295" i="6" s="1"/>
  <c r="F337" i="6"/>
  <c r="AG337" i="6" s="1"/>
  <c r="AH337" i="6" s="1"/>
  <c r="AF283" i="6"/>
  <c r="H325" i="6"/>
  <c r="Y326" i="6"/>
  <c r="AF326" i="6"/>
  <c r="AG282" i="6"/>
  <c r="AH282" i="6" s="1"/>
  <c r="F324" i="6"/>
  <c r="AG324" i="6" s="1"/>
  <c r="AH324" i="6" s="1"/>
  <c r="AG271" i="6"/>
  <c r="F313" i="6"/>
  <c r="AG313" i="6" s="1"/>
  <c r="AB469" i="5"/>
  <c r="AA469" i="5"/>
  <c r="AA446" i="5"/>
  <c r="AB446" i="5"/>
  <c r="AA173" i="4"/>
  <c r="AB173" i="4"/>
  <c r="AC173" i="4" s="1"/>
  <c r="AB462" i="5"/>
  <c r="AA462" i="5"/>
  <c r="AB428" i="5"/>
  <c r="AA428" i="5"/>
  <c r="AA435" i="5"/>
  <c r="AB435" i="5"/>
  <c r="AA457" i="5"/>
  <c r="AB457" i="5"/>
  <c r="AB453" i="5"/>
  <c r="AC453" i="5" s="1"/>
  <c r="AA453" i="5"/>
  <c r="Y322" i="6"/>
  <c r="AF322" i="6"/>
  <c r="Y327" i="6"/>
  <c r="AF327" i="6"/>
  <c r="AG154" i="4"/>
  <c r="AH154" i="4" s="1"/>
  <c r="F176" i="4"/>
  <c r="AG176" i="4" s="1"/>
  <c r="AH176" i="4" s="1"/>
  <c r="AG293" i="6"/>
  <c r="AH293" i="6" s="1"/>
  <c r="F335" i="6"/>
  <c r="AG335" i="6" s="1"/>
  <c r="AH335" i="6" s="1"/>
  <c r="Y329" i="6"/>
  <c r="AF329" i="6"/>
  <c r="AB473" i="5"/>
  <c r="AA473" i="5"/>
  <c r="AB441" i="5"/>
  <c r="AA441" i="5"/>
  <c r="AB427" i="5"/>
  <c r="AA427" i="5"/>
  <c r="K23" i="16"/>
  <c r="G26" i="16"/>
  <c r="AH258" i="6"/>
  <c r="Y298" i="6"/>
  <c r="AB298" i="6" s="1"/>
  <c r="Y283" i="6"/>
  <c r="AB283" i="6" s="1"/>
  <c r="AA246" i="6"/>
  <c r="AA282" i="6"/>
  <c r="AB282" i="6"/>
  <c r="AF294" i="6"/>
  <c r="Y294" i="6"/>
  <c r="AA277" i="6"/>
  <c r="AB277" i="6"/>
  <c r="AB295" i="6"/>
  <c r="AA295" i="6"/>
  <c r="Y284" i="6"/>
  <c r="AF284" i="6"/>
  <c r="AA274" i="6"/>
  <c r="AB274" i="6"/>
  <c r="AF287" i="6"/>
  <c r="Y287" i="6"/>
  <c r="AB293" i="6"/>
  <c r="AA293" i="6"/>
  <c r="Y292" i="6"/>
  <c r="AF292" i="6"/>
  <c r="AF290" i="6"/>
  <c r="Y290" i="6"/>
  <c r="Y296" i="6"/>
  <c r="AF296" i="6"/>
  <c r="Y297" i="6"/>
  <c r="AF297" i="6"/>
  <c r="Y291" i="6"/>
  <c r="AF288" i="6"/>
  <c r="Y288" i="6"/>
  <c r="Y281" i="6"/>
  <c r="AF281" i="6"/>
  <c r="AA232" i="6"/>
  <c r="AC232" i="6" s="1"/>
  <c r="AF279" i="6"/>
  <c r="Y279" i="6"/>
  <c r="T271" i="6"/>
  <c r="P271" i="6"/>
  <c r="P300" i="6" s="1"/>
  <c r="N271" i="6"/>
  <c r="R271" i="6"/>
  <c r="S271" i="6"/>
  <c r="I271" i="6"/>
  <c r="Y271" i="6" s="1"/>
  <c r="J300" i="6"/>
  <c r="K58" i="14" s="1"/>
  <c r="K44" i="14" s="1"/>
  <c r="AC280" i="6"/>
  <c r="AF272" i="6"/>
  <c r="Y272" i="6"/>
  <c r="AB257" i="6"/>
  <c r="AC257" i="6" s="1"/>
  <c r="AB236" i="6"/>
  <c r="AC236" i="6" s="1"/>
  <c r="AA286" i="6"/>
  <c r="AB286" i="6"/>
  <c r="Y289" i="6"/>
  <c r="AF289" i="6"/>
  <c r="AF273" i="6"/>
  <c r="Y273" i="6"/>
  <c r="AH271" i="6"/>
  <c r="Y228" i="6"/>
  <c r="AB228" i="6" s="1"/>
  <c r="I270" i="6"/>
  <c r="AG258" i="6"/>
  <c r="AB299" i="6"/>
  <c r="AA299" i="6"/>
  <c r="AB278" i="6"/>
  <c r="AA278" i="6"/>
  <c r="AB285" i="6"/>
  <c r="AA285" i="6"/>
  <c r="Y276" i="6"/>
  <c r="AA247" i="6"/>
  <c r="AC247" i="6" s="1"/>
  <c r="J59" i="14"/>
  <c r="N258" i="6"/>
  <c r="AC238" i="6"/>
  <c r="I149" i="4"/>
  <c r="AB321" i="5"/>
  <c r="AC321" i="5" s="1"/>
  <c r="T61" i="4"/>
  <c r="T71" i="4" s="1"/>
  <c r="I109" i="3" s="1"/>
  <c r="I160" i="3" s="1"/>
  <c r="AC405" i="5"/>
  <c r="AB337" i="5"/>
  <c r="AC337" i="5" s="1"/>
  <c r="AC244" i="6"/>
  <c r="AC242" i="6"/>
  <c r="AC254" i="6"/>
  <c r="AC243" i="6"/>
  <c r="AC239" i="6"/>
  <c r="AC230" i="6"/>
  <c r="AC376" i="5"/>
  <c r="AC354" i="5"/>
  <c r="AC401" i="5"/>
  <c r="AC110" i="4"/>
  <c r="AC83" i="4"/>
  <c r="S83" i="4" s="1"/>
  <c r="T83" i="4" s="1"/>
  <c r="T93" i="4" s="1"/>
  <c r="J109" i="3" s="1"/>
  <c r="AC385" i="5"/>
  <c r="AA313" i="5"/>
  <c r="AC313" i="5" s="1"/>
  <c r="AC388" i="5"/>
  <c r="AC129" i="4"/>
  <c r="AA318" i="5"/>
  <c r="AC318" i="5" s="1"/>
  <c r="AC356" i="5"/>
  <c r="AC384" i="5"/>
  <c r="AA290" i="5"/>
  <c r="AC290" i="5" s="1"/>
  <c r="AC369" i="5"/>
  <c r="K29" i="10"/>
  <c r="K37" i="13" s="1"/>
  <c r="K41" i="13" s="1"/>
  <c r="L16" i="8"/>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L38" i="12"/>
  <c r="L42" i="12" s="1"/>
  <c r="AA403" i="5"/>
  <c r="AB403" i="5"/>
  <c r="AB393" i="5"/>
  <c r="AA393" i="5"/>
  <c r="AA248" i="6"/>
  <c r="AB248" i="6"/>
  <c r="AC364" i="5"/>
  <c r="AC131" i="4"/>
  <c r="I60" i="16"/>
  <c r="AB153" i="4"/>
  <c r="AA153" i="4"/>
  <c r="AB241" i="6"/>
  <c r="AA241" i="6"/>
  <c r="AA252" i="6"/>
  <c r="AB252" i="6"/>
  <c r="AA132" i="4"/>
  <c r="AB132" i="4"/>
  <c r="AB402" i="5"/>
  <c r="AA402" i="5"/>
  <c r="P258" i="6"/>
  <c r="AC357" i="5"/>
  <c r="AB245" i="6"/>
  <c r="AA245" i="6"/>
  <c r="AF156" i="4"/>
  <c r="Y156" i="4"/>
  <c r="AC355" i="5"/>
  <c r="AB367" i="5"/>
  <c r="AA367" i="5"/>
  <c r="AC250" i="6"/>
  <c r="AB391" i="5"/>
  <c r="AA391" i="5"/>
  <c r="AB365" i="5"/>
  <c r="AA365" i="5"/>
  <c r="AC231" i="6"/>
  <c r="AA237" i="6"/>
  <c r="AB237" i="6"/>
  <c r="AB396" i="5"/>
  <c r="AA396" i="5"/>
  <c r="AC240" i="6"/>
  <c r="AA361" i="5"/>
  <c r="AB361" i="5"/>
  <c r="AB368" i="5"/>
  <c r="AA368" i="5"/>
  <c r="AA229" i="6"/>
  <c r="AB229" i="6"/>
  <c r="AB378" i="5"/>
  <c r="AA378" i="5"/>
  <c r="AB386" i="5"/>
  <c r="AA386" i="5"/>
  <c r="AB397" i="5"/>
  <c r="AA397" i="5"/>
  <c r="AB394" i="5"/>
  <c r="AA394" i="5"/>
  <c r="AB371" i="5"/>
  <c r="AA371" i="5"/>
  <c r="AB395" i="5"/>
  <c r="AA395" i="5"/>
  <c r="AB133" i="4"/>
  <c r="AA133" i="4"/>
  <c r="AB135" i="4"/>
  <c r="AA135" i="4"/>
  <c r="AA374" i="5"/>
  <c r="AB374" i="5"/>
  <c r="AA256" i="6"/>
  <c r="AB256" i="6"/>
  <c r="AB128" i="4"/>
  <c r="AB234" i="6"/>
  <c r="AA234" i="6"/>
  <c r="AC136" i="4"/>
  <c r="AB255" i="6"/>
  <c r="AA255" i="6"/>
  <c r="AB235" i="6"/>
  <c r="AA235" i="6"/>
  <c r="AF155" i="4"/>
  <c r="Y155" i="4"/>
  <c r="AF157" i="4"/>
  <c r="Y157" i="4"/>
  <c r="AB375" i="5"/>
  <c r="AA375" i="5"/>
  <c r="AB372" i="5"/>
  <c r="AA372" i="5"/>
  <c r="AA381" i="5"/>
  <c r="AB381" i="5"/>
  <c r="AB297" i="5"/>
  <c r="AC297" i="5" s="1"/>
  <c r="AA151" i="4"/>
  <c r="AB151" i="4"/>
  <c r="AB390" i="5"/>
  <c r="AA390" i="5"/>
  <c r="AB406" i="5"/>
  <c r="AA406" i="5"/>
  <c r="AA392" i="5"/>
  <c r="AB392" i="5"/>
  <c r="AB359" i="5"/>
  <c r="AA359" i="5"/>
  <c r="AC373" i="5"/>
  <c r="I61" i="16"/>
  <c r="AA407" i="5"/>
  <c r="AB407" i="5"/>
  <c r="AB382" i="5"/>
  <c r="AA382" i="5"/>
  <c r="AC302" i="5"/>
  <c r="AA387" i="5"/>
  <c r="AB387" i="5"/>
  <c r="AA404" i="5"/>
  <c r="AB404" i="5"/>
  <c r="AB366" i="5"/>
  <c r="AA366" i="5"/>
  <c r="AB399" i="5"/>
  <c r="AA399" i="5"/>
  <c r="AB383" i="5"/>
  <c r="AA383" i="5"/>
  <c r="AF152" i="4"/>
  <c r="Y152" i="4"/>
  <c r="AB370" i="5"/>
  <c r="AA370" i="5"/>
  <c r="AA380" i="5"/>
  <c r="AB380" i="5"/>
  <c r="AB377" i="5"/>
  <c r="AA377" i="5"/>
  <c r="AC249" i="6"/>
  <c r="AA379" i="5"/>
  <c r="AB379" i="5"/>
  <c r="AB362" i="5"/>
  <c r="AA362" i="5"/>
  <c r="AA251" i="6"/>
  <c r="AB251" i="6"/>
  <c r="AB360" i="5"/>
  <c r="AA360" i="5"/>
  <c r="AB130" i="4"/>
  <c r="AA130" i="4"/>
  <c r="AB398" i="5"/>
  <c r="AA398" i="5"/>
  <c r="AC253" i="6"/>
  <c r="AC246" i="6"/>
  <c r="AF150" i="4"/>
  <c r="Y150" i="4"/>
  <c r="AB358" i="5"/>
  <c r="AA358" i="5"/>
  <c r="AF154" i="4"/>
  <c r="Y154" i="4"/>
  <c r="AB134" i="4"/>
  <c r="AA134" i="4"/>
  <c r="AB363" i="5"/>
  <c r="AA363" i="5"/>
  <c r="AA158" i="4"/>
  <c r="AB158" i="4"/>
  <c r="AB400" i="5"/>
  <c r="AA400" i="5"/>
  <c r="R71" i="4"/>
  <c r="AA105" i="4"/>
  <c r="AB105" i="4"/>
  <c r="R105" i="4" s="1"/>
  <c r="H201" i="7"/>
  <c r="M21" i="3"/>
  <c r="M19" i="3"/>
  <c r="M20" i="3"/>
  <c r="I153" i="3"/>
  <c r="M176" i="7"/>
  <c r="K20" i="13"/>
  <c r="K42" i="10"/>
  <c r="K24" i="11" s="1"/>
  <c r="J29" i="16" s="1"/>
  <c r="I49" i="10"/>
  <c r="J14" i="10" s="1"/>
  <c r="J49" i="10" s="1"/>
  <c r="K14" i="10" s="1"/>
  <c r="K49" i="10" s="1"/>
  <c r="L14" i="10" s="1"/>
  <c r="L49" i="10" s="1"/>
  <c r="I50" i="10"/>
  <c r="J15" i="10" s="1"/>
  <c r="J50" i="10" s="1"/>
  <c r="K15" i="10" s="1"/>
  <c r="K50" i="10" s="1"/>
  <c r="L15" i="10" s="1"/>
  <c r="L50" i="10" s="1"/>
  <c r="L198" i="7"/>
  <c r="L201" i="7" s="1"/>
  <c r="Y127" i="4"/>
  <c r="AB127" i="4" s="1"/>
  <c r="K23" i="3"/>
  <c r="L176" i="7"/>
  <c r="J64" i="3"/>
  <c r="J101" i="3" s="1"/>
  <c r="K198" i="7"/>
  <c r="K201" i="7" s="1"/>
  <c r="M169" i="3"/>
  <c r="M94" i="7"/>
  <c r="M192" i="7"/>
  <c r="M196" i="7" s="1"/>
  <c r="M203" i="7" s="1"/>
  <c r="M207" i="7"/>
  <c r="K47" i="3"/>
  <c r="K52" i="3" s="1"/>
  <c r="K61" i="3" s="1"/>
  <c r="K159" i="3" s="1"/>
  <c r="I49" i="11" s="1"/>
  <c r="H62" i="16" s="1"/>
  <c r="R144" i="6"/>
  <c r="T144" i="6" s="1"/>
  <c r="AA196" i="6"/>
  <c r="AC196" i="6" s="1"/>
  <c r="S174" i="6"/>
  <c r="AB298" i="5"/>
  <c r="AC298" i="5" s="1"/>
  <c r="AC314" i="5"/>
  <c r="AC315" i="5"/>
  <c r="AC316" i="5"/>
  <c r="AA306" i="5"/>
  <c r="AC306" i="5" s="1"/>
  <c r="AC334" i="5"/>
  <c r="AC198" i="6"/>
  <c r="AC291" i="5"/>
  <c r="AC330" i="5"/>
  <c r="O353" i="5"/>
  <c r="AD353" i="5" s="1"/>
  <c r="AB294" i="5"/>
  <c r="AC294" i="5" s="1"/>
  <c r="AA326" i="5"/>
  <c r="AC326" i="5" s="1"/>
  <c r="AB289" i="5"/>
  <c r="AC289" i="5" s="1"/>
  <c r="AB300" i="5"/>
  <c r="AC300" i="5" s="1"/>
  <c r="AB202" i="6"/>
  <c r="AC202" i="6" s="1"/>
  <c r="AB201" i="6"/>
  <c r="AC201" i="6" s="1"/>
  <c r="AB332" i="5"/>
  <c r="AC332" i="5" s="1"/>
  <c r="AA311" i="5"/>
  <c r="AC311" i="5" s="1"/>
  <c r="AB208" i="6"/>
  <c r="AC208" i="6" s="1"/>
  <c r="J40" i="14"/>
  <c r="J63" i="14"/>
  <c r="J11" i="14"/>
  <c r="J21" i="14"/>
  <c r="AA353" i="5"/>
  <c r="AB353" i="5"/>
  <c r="AA186" i="6"/>
  <c r="AC186" i="6" s="1"/>
  <c r="S186" i="6" s="1"/>
  <c r="K70" i="11"/>
  <c r="AA128" i="4"/>
  <c r="R128" i="4"/>
  <c r="AC189" i="6"/>
  <c r="H70" i="11"/>
  <c r="AC310" i="5"/>
  <c r="AC200" i="6"/>
  <c r="AC188" i="6"/>
  <c r="L158" i="3"/>
  <c r="AC322" i="5"/>
  <c r="AC338" i="5"/>
  <c r="J29" i="13"/>
  <c r="AC340" i="5"/>
  <c r="R219" i="5"/>
  <c r="T152" i="5"/>
  <c r="AC317" i="5"/>
  <c r="AC108" i="4"/>
  <c r="AC307" i="5"/>
  <c r="AC288" i="5"/>
  <c r="AC323" i="5"/>
  <c r="AC336" i="5"/>
  <c r="AC107" i="4"/>
  <c r="AC301" i="5"/>
  <c r="AC197" i="6"/>
  <c r="AC203" i="6"/>
  <c r="AC215" i="6"/>
  <c r="R186" i="6"/>
  <c r="AC193" i="6"/>
  <c r="AC207" i="6"/>
  <c r="AC194" i="6"/>
  <c r="AC199" i="6"/>
  <c r="AC190" i="6"/>
  <c r="AC209" i="6"/>
  <c r="AC210" i="6"/>
  <c r="T145" i="6"/>
  <c r="AC211" i="6"/>
  <c r="AC213" i="6"/>
  <c r="S187" i="6"/>
  <c r="O341" i="5"/>
  <c r="T153" i="5"/>
  <c r="AC296" i="5"/>
  <c r="AC219" i="5"/>
  <c r="S219" i="5" s="1"/>
  <c r="AC304" i="5"/>
  <c r="AC335" i="5"/>
  <c r="AC303" i="5"/>
  <c r="AC320" i="5"/>
  <c r="AC312" i="5"/>
  <c r="AC339" i="5"/>
  <c r="AC324" i="5"/>
  <c r="AC305" i="5"/>
  <c r="AC299" i="5"/>
  <c r="AC319" i="5"/>
  <c r="AC309" i="5"/>
  <c r="AC308" i="5"/>
  <c r="P286" i="5"/>
  <c r="AD286" i="5"/>
  <c r="AB286" i="5"/>
  <c r="AA286" i="5"/>
  <c r="AH286" i="5"/>
  <c r="AH341" i="5" s="1"/>
  <c r="S207" i="5"/>
  <c r="P287" i="5"/>
  <c r="AD287" i="5"/>
  <c r="AB287" i="5"/>
  <c r="AA287" i="5"/>
  <c r="AC220" i="5"/>
  <c r="S220" i="5" s="1"/>
  <c r="AC106" i="4"/>
  <c r="S106" i="4" s="1"/>
  <c r="P216" i="6"/>
  <c r="P274" i="5"/>
  <c r="R207" i="5"/>
  <c r="R93" i="4"/>
  <c r="G59" i="14"/>
  <c r="F60" i="16"/>
  <c r="H59" i="14"/>
  <c r="G70" i="11"/>
  <c r="G18" i="11"/>
  <c r="I75" i="14"/>
  <c r="G37" i="13"/>
  <c r="G41" i="13" s="1"/>
  <c r="J29" i="10"/>
  <c r="J20" i="13"/>
  <c r="H12" i="10"/>
  <c r="H47" i="10" s="1"/>
  <c r="G53" i="10"/>
  <c r="H15" i="12" s="1"/>
  <c r="I162" i="3"/>
  <c r="G66" i="11"/>
  <c r="H66" i="11"/>
  <c r="I18" i="11"/>
  <c r="H26" i="16" s="1"/>
  <c r="H112" i="3"/>
  <c r="H116" i="3" s="1"/>
  <c r="H136" i="3" s="1"/>
  <c r="I164" i="3" s="1"/>
  <c r="I17" i="10"/>
  <c r="I52" i="10" s="1"/>
  <c r="AC256" i="6" l="1"/>
  <c r="AC441" i="5"/>
  <c r="AC459" i="5"/>
  <c r="AC454" i="5"/>
  <c r="N32" i="7"/>
  <c r="AA228" i="6"/>
  <c r="AC274" i="6"/>
  <c r="AC457" i="5"/>
  <c r="AC426" i="5"/>
  <c r="AG300" i="6"/>
  <c r="AC286" i="6"/>
  <c r="AC460" i="5"/>
  <c r="AC464" i="5"/>
  <c r="AC444" i="5"/>
  <c r="H36" i="14"/>
  <c r="AC299" i="6"/>
  <c r="AC458" i="5"/>
  <c r="AC461" i="5"/>
  <c r="AC470" i="5"/>
  <c r="AC425" i="5"/>
  <c r="AC175" i="4"/>
  <c r="AC445" i="5"/>
  <c r="AC474" i="5"/>
  <c r="AB313" i="6"/>
  <c r="AA313" i="6"/>
  <c r="Y149" i="4"/>
  <c r="AA149" i="4" s="1"/>
  <c r="I171" i="4"/>
  <c r="Y171" i="4" s="1"/>
  <c r="AA172" i="4"/>
  <c r="AB172" i="4"/>
  <c r="AC172" i="4" s="1"/>
  <c r="AB327" i="6"/>
  <c r="AA327" i="6"/>
  <c r="AA283" i="6"/>
  <c r="AC283" i="6" s="1"/>
  <c r="AC473" i="5"/>
  <c r="AC428" i="5"/>
  <c r="AC446" i="5"/>
  <c r="N47" i="3"/>
  <c r="N52" i="3" s="1"/>
  <c r="N61" i="3" s="1"/>
  <c r="N23" i="3"/>
  <c r="N64" i="3" s="1"/>
  <c r="AC465" i="5"/>
  <c r="N158" i="3"/>
  <c r="L18" i="11" s="1"/>
  <c r="L66" i="11"/>
  <c r="Y335" i="6"/>
  <c r="AF335" i="6"/>
  <c r="AA176" i="4"/>
  <c r="AB176" i="4"/>
  <c r="AA337" i="6"/>
  <c r="AB337" i="6"/>
  <c r="AC439" i="5"/>
  <c r="AC447" i="5"/>
  <c r="Y318" i="6"/>
  <c r="AF318" i="6"/>
  <c r="AC437" i="5"/>
  <c r="Y316" i="6"/>
  <c r="AF316" i="6"/>
  <c r="AA178" i="4"/>
  <c r="AB178" i="4"/>
  <c r="AA324" i="6"/>
  <c r="AB324" i="6"/>
  <c r="AB315" i="6"/>
  <c r="AA315" i="6"/>
  <c r="AA329" i="6"/>
  <c r="AB329" i="6"/>
  <c r="Y340" i="6"/>
  <c r="AF340" i="6"/>
  <c r="AB317" i="6"/>
  <c r="AA317" i="6"/>
  <c r="AB331" i="6"/>
  <c r="AA331" i="6"/>
  <c r="N205" i="7"/>
  <c r="L50" i="11"/>
  <c r="AC450" i="5"/>
  <c r="AB338" i="6"/>
  <c r="AA338" i="6"/>
  <c r="AC466" i="5"/>
  <c r="Y420" i="5"/>
  <c r="O420" i="5"/>
  <c r="Y319" i="6"/>
  <c r="AF319" i="6"/>
  <c r="K29" i="13"/>
  <c r="K38" i="16"/>
  <c r="Y270" i="6"/>
  <c r="AB270" i="6" s="1"/>
  <c r="I312" i="6"/>
  <c r="Y312" i="6" s="1"/>
  <c r="AC282" i="6"/>
  <c r="AC435" i="5"/>
  <c r="AC462" i="5"/>
  <c r="AC469" i="5"/>
  <c r="AB326" i="6"/>
  <c r="AA326" i="6"/>
  <c r="AC429" i="5"/>
  <c r="AC432" i="5"/>
  <c r="AC430" i="5"/>
  <c r="AC448" i="5"/>
  <c r="AC438" i="5"/>
  <c r="AC449" i="5"/>
  <c r="AA339" i="6"/>
  <c r="AB339" i="6"/>
  <c r="AB323" i="6"/>
  <c r="AA323" i="6"/>
  <c r="AA174" i="4"/>
  <c r="AB174" i="4"/>
  <c r="AB321" i="6"/>
  <c r="AA321" i="6"/>
  <c r="AC427" i="5"/>
  <c r="AB322" i="6"/>
  <c r="AA322" i="6"/>
  <c r="AH313" i="6"/>
  <c r="AH342" i="6" s="1"/>
  <c r="AG342" i="6"/>
  <c r="Y325" i="6"/>
  <c r="AF325" i="6"/>
  <c r="AC180" i="4"/>
  <c r="Y341" i="6"/>
  <c r="AF341" i="6"/>
  <c r="AA177" i="4"/>
  <c r="AB177" i="4"/>
  <c r="AD313" i="6"/>
  <c r="N342" i="6"/>
  <c r="AC433" i="5"/>
  <c r="Y320" i="6"/>
  <c r="AF320" i="6"/>
  <c r="AC328" i="6"/>
  <c r="AB332" i="6"/>
  <c r="AA332" i="6"/>
  <c r="Y333" i="6"/>
  <c r="AF333" i="6"/>
  <c r="N38" i="7"/>
  <c r="N207" i="7" s="1"/>
  <c r="J37" i="13"/>
  <c r="J41" i="13" s="1"/>
  <c r="I64" i="16"/>
  <c r="J67" i="16"/>
  <c r="J33" i="14"/>
  <c r="AH300" i="6"/>
  <c r="J64" i="16"/>
  <c r="AA298" i="6"/>
  <c r="AC298" i="6" s="1"/>
  <c r="AB336" i="6"/>
  <c r="AA336" i="6"/>
  <c r="AA179" i="4"/>
  <c r="AB179" i="4"/>
  <c r="K59" i="14"/>
  <c r="K41" i="14" s="1"/>
  <c r="AB314" i="6"/>
  <c r="AA314" i="6"/>
  <c r="AB334" i="6"/>
  <c r="AA334" i="6"/>
  <c r="AB330" i="6"/>
  <c r="AA330" i="6"/>
  <c r="L62" i="2"/>
  <c r="L67" i="2" s="1"/>
  <c r="L72" i="2"/>
  <c r="L77" i="2" s="1"/>
  <c r="L46" i="2"/>
  <c r="L48" i="2"/>
  <c r="J71" i="14"/>
  <c r="F26" i="16"/>
  <c r="K71" i="14"/>
  <c r="J41" i="14"/>
  <c r="H41" i="14"/>
  <c r="G41" i="14"/>
  <c r="AC255" i="6"/>
  <c r="AC245" i="6"/>
  <c r="AC285" i="6"/>
  <c r="AC277" i="6"/>
  <c r="AC278" i="6"/>
  <c r="AA281" i="6"/>
  <c r="AB281" i="6"/>
  <c r="AB290" i="6"/>
  <c r="AA290" i="6"/>
  <c r="AB294" i="6"/>
  <c r="AA294" i="6"/>
  <c r="AD271" i="6"/>
  <c r="N300" i="6"/>
  <c r="AA288" i="6"/>
  <c r="AB288" i="6"/>
  <c r="AA296" i="6"/>
  <c r="AB296" i="6"/>
  <c r="AB273" i="6"/>
  <c r="AA273" i="6"/>
  <c r="AB272" i="6"/>
  <c r="AA272" i="6"/>
  <c r="AB271" i="6"/>
  <c r="AA271" i="6"/>
  <c r="AB291" i="6"/>
  <c r="AA291" i="6"/>
  <c r="AB292" i="6"/>
  <c r="AA292" i="6"/>
  <c r="AA284" i="6"/>
  <c r="AB284" i="6"/>
  <c r="AA287" i="6"/>
  <c r="AB287" i="6"/>
  <c r="AB276" i="6"/>
  <c r="AA276" i="6"/>
  <c r="AA270" i="6"/>
  <c r="AB279" i="6"/>
  <c r="AA279" i="6"/>
  <c r="AB289" i="6"/>
  <c r="AA289" i="6"/>
  <c r="AA297" i="6"/>
  <c r="AB297" i="6"/>
  <c r="AC293" i="6"/>
  <c r="AC295" i="6"/>
  <c r="AC393" i="5"/>
  <c r="S93" i="4"/>
  <c r="AC237" i="6"/>
  <c r="AC241" i="6"/>
  <c r="AC251" i="6"/>
  <c r="AC133" i="4"/>
  <c r="AC397" i="5"/>
  <c r="AC378" i="5"/>
  <c r="AC135" i="4"/>
  <c r="AC383" i="5"/>
  <c r="AC368" i="5"/>
  <c r="AC402" i="5"/>
  <c r="AC153" i="4"/>
  <c r="AC379" i="5"/>
  <c r="AC391" i="5"/>
  <c r="AC361" i="5"/>
  <c r="AC132" i="4"/>
  <c r="AC403" i="5"/>
  <c r="AC400" i="5"/>
  <c r="AC398" i="5"/>
  <c r="AC362" i="5"/>
  <c r="AC399" i="5"/>
  <c r="AC372" i="5"/>
  <c r="AC359" i="5"/>
  <c r="AC392" i="5"/>
  <c r="AC363" i="5"/>
  <c r="AC396" i="5"/>
  <c r="AC387" i="5"/>
  <c r="AC406" i="5"/>
  <c r="AC381" i="5"/>
  <c r="AC394" i="5"/>
  <c r="AC367" i="5"/>
  <c r="AC128" i="4"/>
  <c r="S128" i="4" s="1"/>
  <c r="AB154" i="4"/>
  <c r="AA154" i="4"/>
  <c r="AC380" i="5"/>
  <c r="AC390" i="5"/>
  <c r="AB155" i="4"/>
  <c r="AA155" i="4"/>
  <c r="AC234" i="6"/>
  <c r="AC134" i="4"/>
  <c r="AC151" i="4"/>
  <c r="AA156" i="4"/>
  <c r="AB156" i="4"/>
  <c r="AC158" i="4"/>
  <c r="AC358" i="5"/>
  <c r="AC130" i="4"/>
  <c r="AC370" i="5"/>
  <c r="AC366" i="5"/>
  <c r="AC382" i="5"/>
  <c r="AC235" i="6"/>
  <c r="AC395" i="5"/>
  <c r="AC386" i="5"/>
  <c r="AC365" i="5"/>
  <c r="AA150" i="4"/>
  <c r="AB150" i="4"/>
  <c r="AA152" i="4"/>
  <c r="AB152" i="4"/>
  <c r="AC404" i="5"/>
  <c r="AC407" i="5"/>
  <c r="Y159" i="4"/>
  <c r="AA159" i="4" s="1"/>
  <c r="AC375" i="5"/>
  <c r="AC374" i="5"/>
  <c r="AC371" i="5"/>
  <c r="AC252" i="6"/>
  <c r="AC360" i="5"/>
  <c r="AC377" i="5"/>
  <c r="AA157" i="4"/>
  <c r="AB157" i="4"/>
  <c r="AC229" i="6"/>
  <c r="AC248" i="6"/>
  <c r="AC105" i="4"/>
  <c r="S105" i="4" s="1"/>
  <c r="S115" i="4" s="1"/>
  <c r="R174" i="6"/>
  <c r="M181" i="7"/>
  <c r="J75" i="14"/>
  <c r="G22" i="11"/>
  <c r="M47" i="3"/>
  <c r="M52" i="3" s="1"/>
  <c r="M61" i="3" s="1"/>
  <c r="N159" i="3" s="1"/>
  <c r="L49" i="11" s="1"/>
  <c r="K62" i="16" s="1"/>
  <c r="M23" i="3"/>
  <c r="Y137" i="4"/>
  <c r="AA137" i="4" s="1"/>
  <c r="AA127" i="4"/>
  <c r="AC127" i="4" s="1"/>
  <c r="S127" i="4" s="1"/>
  <c r="L23" i="3"/>
  <c r="L47" i="3"/>
  <c r="L52" i="3" s="1"/>
  <c r="L61" i="3" s="1"/>
  <c r="J160" i="3"/>
  <c r="T174" i="6"/>
  <c r="P353" i="5"/>
  <c r="P408" i="5" s="1"/>
  <c r="O408" i="5"/>
  <c r="L165" i="3"/>
  <c r="H57" i="16" s="1"/>
  <c r="R228" i="6"/>
  <c r="AC228" i="6"/>
  <c r="S228" i="6" s="1"/>
  <c r="S258" i="6" s="1"/>
  <c r="AC353" i="5"/>
  <c r="R127" i="4"/>
  <c r="I66" i="14"/>
  <c r="T128" i="4"/>
  <c r="G71" i="14"/>
  <c r="S216" i="6"/>
  <c r="R286" i="5"/>
  <c r="T186" i="6"/>
  <c r="S274" i="5"/>
  <c r="K64" i="3"/>
  <c r="K101" i="3" s="1"/>
  <c r="K167" i="3" s="1"/>
  <c r="T187" i="6"/>
  <c r="T219" i="5"/>
  <c r="AC286" i="5"/>
  <c r="S286" i="5" s="1"/>
  <c r="P341" i="5"/>
  <c r="J36" i="14" s="1"/>
  <c r="T220" i="5"/>
  <c r="AC287" i="5"/>
  <c r="S287" i="5" s="1"/>
  <c r="T106" i="4"/>
  <c r="R115" i="4"/>
  <c r="T207" i="5"/>
  <c r="T139" i="5"/>
  <c r="I110" i="3" s="1"/>
  <c r="R139" i="5"/>
  <c r="G66" i="14"/>
  <c r="F66" i="14"/>
  <c r="J70" i="11"/>
  <c r="I70" i="11"/>
  <c r="F71" i="14"/>
  <c r="F53" i="14"/>
  <c r="H18" i="10"/>
  <c r="H17" i="12"/>
  <c r="G35" i="16" s="1"/>
  <c r="H71" i="14"/>
  <c r="H138" i="3"/>
  <c r="F69" i="11" s="1"/>
  <c r="F73" i="11" s="1"/>
  <c r="F51" i="14"/>
  <c r="AC322" i="6" l="1"/>
  <c r="AC329" i="6"/>
  <c r="AC178" i="4"/>
  <c r="AC179" i="4"/>
  <c r="AC288" i="6"/>
  <c r="AC314" i="6"/>
  <c r="AC339" i="6"/>
  <c r="AC326" i="6"/>
  <c r="AC317" i="6"/>
  <c r="AC315" i="6"/>
  <c r="AC279" i="6"/>
  <c r="AC324" i="6"/>
  <c r="AC176" i="4"/>
  <c r="AC177" i="4"/>
  <c r="I36" i="14"/>
  <c r="O475" i="5"/>
  <c r="P420" i="5"/>
  <c r="AD420" i="5"/>
  <c r="AA420" i="5"/>
  <c r="AB420" i="5"/>
  <c r="AC420" i="5" s="1"/>
  <c r="F28" i="16"/>
  <c r="K74" i="14"/>
  <c r="J111" i="3"/>
  <c r="J162" i="3" s="1"/>
  <c r="G53" i="14" s="1"/>
  <c r="AA333" i="6"/>
  <c r="AB333" i="6"/>
  <c r="AB341" i="6"/>
  <c r="AA341" i="6"/>
  <c r="AC174" i="4"/>
  <c r="AB312" i="6"/>
  <c r="AA312" i="6"/>
  <c r="AA319" i="6"/>
  <c r="AB319" i="6"/>
  <c r="AC319" i="6" s="1"/>
  <c r="AA316" i="6"/>
  <c r="AB316" i="6"/>
  <c r="AC337" i="6"/>
  <c r="AB171" i="4"/>
  <c r="AA171" i="4"/>
  <c r="Y181" i="4"/>
  <c r="AA181" i="4" s="1"/>
  <c r="AB318" i="6"/>
  <c r="AA318" i="6"/>
  <c r="AC272" i="6"/>
  <c r="AC334" i="6"/>
  <c r="N58" i="7"/>
  <c r="K33" i="14"/>
  <c r="K67" i="16"/>
  <c r="AC331" i="6"/>
  <c r="AC327" i="6"/>
  <c r="H35" i="14"/>
  <c r="G56" i="16" s="1"/>
  <c r="G35" i="14"/>
  <c r="F56" i="16" s="1"/>
  <c r="L51" i="11"/>
  <c r="K63" i="16"/>
  <c r="K26" i="16"/>
  <c r="AC330" i="6"/>
  <c r="AC332" i="6"/>
  <c r="AA340" i="6"/>
  <c r="AB340" i="6"/>
  <c r="AB149" i="4"/>
  <c r="AB325" i="6"/>
  <c r="AA325" i="6"/>
  <c r="AC323" i="6"/>
  <c r="N101" i="3"/>
  <c r="AC287" i="6"/>
  <c r="AC281" i="6"/>
  <c r="AC336" i="6"/>
  <c r="AA320" i="6"/>
  <c r="AB320" i="6"/>
  <c r="AC321" i="6"/>
  <c r="AC338" i="6"/>
  <c r="AB335" i="6"/>
  <c r="AA335" i="6"/>
  <c r="AC313" i="6"/>
  <c r="AC297" i="6"/>
  <c r="AC296" i="6"/>
  <c r="AC270" i="6"/>
  <c r="S270" i="6" s="1"/>
  <c r="S300" i="6" s="1"/>
  <c r="R270" i="6"/>
  <c r="AC292" i="6"/>
  <c r="AC273" i="6"/>
  <c r="AC294" i="6"/>
  <c r="AC276" i="6"/>
  <c r="AC291" i="6"/>
  <c r="AC290" i="6"/>
  <c r="AC289" i="6"/>
  <c r="AC271" i="6"/>
  <c r="AC284" i="6"/>
  <c r="AC152" i="4"/>
  <c r="AC156" i="4"/>
  <c r="AC157" i="4"/>
  <c r="T105" i="4"/>
  <c r="T115" i="4" s="1"/>
  <c r="K109" i="3" s="1"/>
  <c r="K160" i="3" s="1"/>
  <c r="H51" i="14" s="1"/>
  <c r="S137" i="4"/>
  <c r="AC154" i="4"/>
  <c r="AC150" i="4"/>
  <c r="AC155" i="4"/>
  <c r="M159" i="3"/>
  <c r="K49" i="11" s="1"/>
  <c r="J62" i="16" s="1"/>
  <c r="M64" i="3"/>
  <c r="H74" i="14"/>
  <c r="J74" i="14"/>
  <c r="G74" i="14"/>
  <c r="I74" i="14"/>
  <c r="F74" i="14"/>
  <c r="L159" i="3"/>
  <c r="J49" i="11" s="1"/>
  <c r="I62" i="16" s="1"/>
  <c r="L64" i="3"/>
  <c r="G51" i="14"/>
  <c r="J110" i="3"/>
  <c r="R353" i="5"/>
  <c r="R408" i="5" s="1"/>
  <c r="S353" i="5"/>
  <c r="S408" i="5" s="1"/>
  <c r="T127" i="4"/>
  <c r="T137" i="4" s="1"/>
  <c r="R137" i="4"/>
  <c r="R258" i="6"/>
  <c r="T228" i="6"/>
  <c r="T258" i="6" s="1"/>
  <c r="K153" i="3"/>
  <c r="S341" i="5"/>
  <c r="T286" i="5"/>
  <c r="T287" i="5"/>
  <c r="I161" i="3"/>
  <c r="I112" i="3"/>
  <c r="I59" i="14"/>
  <c r="T216" i="6"/>
  <c r="K111" i="3" s="1"/>
  <c r="R216" i="6"/>
  <c r="J18" i="11"/>
  <c r="I66" i="11"/>
  <c r="J66" i="11"/>
  <c r="I12" i="10"/>
  <c r="I47" i="10" s="1"/>
  <c r="H53" i="10"/>
  <c r="I15" i="12" s="1"/>
  <c r="J17" i="10"/>
  <c r="J52" i="10" s="1"/>
  <c r="AC333" i="6" l="1"/>
  <c r="AC316" i="6"/>
  <c r="AC341" i="6"/>
  <c r="AC320" i="6"/>
  <c r="I35" i="14"/>
  <c r="J112" i="3"/>
  <c r="J138" i="3" s="1"/>
  <c r="H69" i="11" s="1"/>
  <c r="H73" i="11" s="1"/>
  <c r="AC335" i="6"/>
  <c r="AC340" i="6"/>
  <c r="I26" i="16"/>
  <c r="R149" i="4"/>
  <c r="AC149" i="4"/>
  <c r="S149" i="4" s="1"/>
  <c r="S159" i="4" s="1"/>
  <c r="AC171" i="4"/>
  <c r="S171" i="4" s="1"/>
  <c r="S181" i="4" s="1"/>
  <c r="R171" i="4"/>
  <c r="AC325" i="6"/>
  <c r="R312" i="6"/>
  <c r="AC312" i="6"/>
  <c r="S312" i="6" s="1"/>
  <c r="S342" i="6" s="1"/>
  <c r="S420" i="5"/>
  <c r="S475" i="5" s="1"/>
  <c r="N192" i="7"/>
  <c r="N94" i="7"/>
  <c r="N181" i="7" s="1"/>
  <c r="K162" i="3"/>
  <c r="H53" i="14" s="1"/>
  <c r="P475" i="5"/>
  <c r="K36" i="14" s="1"/>
  <c r="R420" i="5"/>
  <c r="H56" i="16"/>
  <c r="L111" i="3"/>
  <c r="M162" i="3" s="1"/>
  <c r="AC318" i="6"/>
  <c r="I41" i="14"/>
  <c r="R300" i="6"/>
  <c r="T270" i="6"/>
  <c r="T300" i="6" s="1"/>
  <c r="M111" i="3" s="1"/>
  <c r="M101" i="3"/>
  <c r="N167" i="3" s="1"/>
  <c r="N153" i="3"/>
  <c r="L14" i="11" s="1"/>
  <c r="M153" i="3"/>
  <c r="K14" i="11" s="1"/>
  <c r="K62" i="11"/>
  <c r="K67" i="11" s="1"/>
  <c r="L109" i="3"/>
  <c r="L101" i="3"/>
  <c r="L153" i="3"/>
  <c r="J161" i="3"/>
  <c r="G52" i="14" s="1"/>
  <c r="T353" i="5"/>
  <c r="T408" i="5" s="1"/>
  <c r="M110" i="3" s="1"/>
  <c r="K51" i="11"/>
  <c r="I71" i="14"/>
  <c r="T274" i="5"/>
  <c r="R274" i="5"/>
  <c r="I138" i="3"/>
  <c r="I163" i="3"/>
  <c r="F34" i="14" s="1"/>
  <c r="T341" i="5"/>
  <c r="L110" i="3" s="1"/>
  <c r="H66" i="14"/>
  <c r="J66" i="14" s="1"/>
  <c r="K66" i="14" s="1"/>
  <c r="F52" i="14"/>
  <c r="R341" i="5"/>
  <c r="I18" i="10"/>
  <c r="I17" i="12"/>
  <c r="H35" i="16" s="1"/>
  <c r="K17" i="10"/>
  <c r="K52" i="10" s="1"/>
  <c r="L17" i="10" s="1"/>
  <c r="L52" i="10" s="1"/>
  <c r="L162" i="3" l="1"/>
  <c r="J163" i="3"/>
  <c r="G34" i="14" s="1"/>
  <c r="J143" i="3"/>
  <c r="R475" i="5"/>
  <c r="T420" i="5"/>
  <c r="T475" i="5" s="1"/>
  <c r="N110" i="3" s="1"/>
  <c r="N161" i="3" s="1"/>
  <c r="R181" i="4"/>
  <c r="T171" i="4"/>
  <c r="T181" i="4" s="1"/>
  <c r="N109" i="3" s="1"/>
  <c r="J29" i="14"/>
  <c r="J22" i="16"/>
  <c r="L19" i="11"/>
  <c r="K29" i="14"/>
  <c r="K22" i="16"/>
  <c r="T149" i="4"/>
  <c r="T159" i="4" s="1"/>
  <c r="M109" i="3" s="1"/>
  <c r="M160" i="3" s="1"/>
  <c r="J51" i="14" s="1"/>
  <c r="R159" i="4"/>
  <c r="R342" i="6"/>
  <c r="T312" i="6"/>
  <c r="T342" i="6" s="1"/>
  <c r="N111" i="3" s="1"/>
  <c r="N162" i="3" s="1"/>
  <c r="N196" i="7"/>
  <c r="N203" i="7" s="1"/>
  <c r="L62" i="11"/>
  <c r="L67" i="11" s="1"/>
  <c r="K35" i="14"/>
  <c r="J35" i="14"/>
  <c r="I56" i="16" s="1"/>
  <c r="M167" i="3"/>
  <c r="K19" i="11"/>
  <c r="G49" i="14"/>
  <c r="L167" i="3"/>
  <c r="M161" i="3"/>
  <c r="J52" i="14" s="1"/>
  <c r="J53" i="14"/>
  <c r="K110" i="3"/>
  <c r="K112" i="3" s="1"/>
  <c r="I53" i="14"/>
  <c r="G50" i="14"/>
  <c r="G48" i="14"/>
  <c r="L160" i="3"/>
  <c r="G69" i="11"/>
  <c r="G73" i="11" s="1"/>
  <c r="J168" i="3"/>
  <c r="I168" i="3"/>
  <c r="L112" i="3"/>
  <c r="F48" i="14"/>
  <c r="F49" i="14"/>
  <c r="F50" i="14"/>
  <c r="G21" i="11"/>
  <c r="H21" i="11"/>
  <c r="G27" i="16" s="1"/>
  <c r="J12" i="10"/>
  <c r="J47" i="10" s="1"/>
  <c r="I53" i="10"/>
  <c r="J15" i="12" s="1"/>
  <c r="N112" i="3" l="1"/>
  <c r="N138" i="3" s="1"/>
  <c r="M112" i="3"/>
  <c r="M163" i="3" s="1"/>
  <c r="K53" i="14"/>
  <c r="F27" i="16"/>
  <c r="K45" i="14"/>
  <c r="K32" i="14"/>
  <c r="L69" i="11"/>
  <c r="L73" i="11" s="1"/>
  <c r="L75" i="11" s="1"/>
  <c r="N143" i="3"/>
  <c r="K52" i="14"/>
  <c r="N160" i="3"/>
  <c r="J45" i="14"/>
  <c r="J32" i="14"/>
  <c r="I66" i="16" s="1"/>
  <c r="N163" i="3"/>
  <c r="K49" i="14" s="1"/>
  <c r="K161" i="3"/>
  <c r="H52" i="14" s="1"/>
  <c r="L161" i="3"/>
  <c r="I52" i="14" s="1"/>
  <c r="I51" i="14"/>
  <c r="L138" i="3"/>
  <c r="K163" i="3"/>
  <c r="H34" i="14" s="1"/>
  <c r="K138" i="3"/>
  <c r="L163" i="3"/>
  <c r="H23" i="11"/>
  <c r="G23" i="11"/>
  <c r="G73" i="14"/>
  <c r="F73" i="14"/>
  <c r="J18" i="10"/>
  <c r="J17" i="12"/>
  <c r="I35" i="16" s="1"/>
  <c r="M138" i="3" l="1"/>
  <c r="M143" i="3" s="1"/>
  <c r="J48" i="14"/>
  <c r="J49" i="14"/>
  <c r="K26" i="14"/>
  <c r="K30" i="14"/>
  <c r="K23" i="14"/>
  <c r="K24" i="14"/>
  <c r="K22" i="14"/>
  <c r="K48" i="14"/>
  <c r="K51" i="14"/>
  <c r="L21" i="11"/>
  <c r="K34" i="14"/>
  <c r="I50" i="14"/>
  <c r="I34" i="14"/>
  <c r="J50" i="14"/>
  <c r="J34" i="14"/>
  <c r="J26" i="14"/>
  <c r="J23" i="14"/>
  <c r="J24" i="14"/>
  <c r="J30" i="14"/>
  <c r="J22" i="14"/>
  <c r="K50" i="14"/>
  <c r="K21" i="11"/>
  <c r="J27" i="16" s="1"/>
  <c r="K69" i="11"/>
  <c r="K73" i="11" s="1"/>
  <c r="K75" i="11" s="1"/>
  <c r="H49" i="14"/>
  <c r="I49" i="14"/>
  <c r="I48" i="14"/>
  <c r="H50" i="14"/>
  <c r="H48" i="14"/>
  <c r="J69" i="11"/>
  <c r="J73" i="11" s="1"/>
  <c r="L143" i="3"/>
  <c r="J53" i="10"/>
  <c r="K15" i="12" s="1"/>
  <c r="K17" i="12" s="1"/>
  <c r="J35" i="16" s="1"/>
  <c r="K12" i="10"/>
  <c r="K47" i="10" s="1"/>
  <c r="L12" i="10" s="1"/>
  <c r="G27" i="11"/>
  <c r="H27" i="11"/>
  <c r="J21" i="11"/>
  <c r="I27" i="16" s="1"/>
  <c r="K168" i="3"/>
  <c r="L168" i="3"/>
  <c r="I69" i="11"/>
  <c r="I73" i="11" s="1"/>
  <c r="K143" i="3"/>
  <c r="I21" i="11"/>
  <c r="H27" i="16" s="1"/>
  <c r="N168" i="3" l="1"/>
  <c r="M168" i="3"/>
  <c r="G46" i="14"/>
  <c r="F46" i="14"/>
  <c r="L23" i="11"/>
  <c r="K27" i="16"/>
  <c r="K73" i="14"/>
  <c r="L18" i="10"/>
  <c r="L47" i="10"/>
  <c r="L53" i="10" s="1"/>
  <c r="F72" i="14"/>
  <c r="K23" i="11"/>
  <c r="J73" i="14"/>
  <c r="K18" i="10"/>
  <c r="K53" i="10"/>
  <c r="L15" i="12" s="1"/>
  <c r="L17" i="12" s="1"/>
  <c r="K35" i="16" s="1"/>
  <c r="G72" i="14"/>
  <c r="I23" i="11"/>
  <c r="H73" i="14"/>
  <c r="J23" i="11"/>
  <c r="I73" i="14"/>
  <c r="H101" i="3"/>
  <c r="H143" i="3" s="1"/>
  <c r="L27" i="11" l="1"/>
  <c r="K28" i="14"/>
  <c r="K25" i="14"/>
  <c r="J28" i="14"/>
  <c r="J25" i="14"/>
  <c r="K27" i="11"/>
  <c r="I27" i="11"/>
  <c r="J27" i="11"/>
  <c r="H94" i="7"/>
  <c r="H181" i="7" s="1"/>
  <c r="I46" i="14" l="1"/>
  <c r="H46" i="14"/>
  <c r="J27" i="14"/>
  <c r="J46" i="14"/>
  <c r="L29" i="11"/>
  <c r="L42" i="11" s="1"/>
  <c r="K46" i="14"/>
  <c r="K27" i="14"/>
  <c r="K72" i="14"/>
  <c r="H72" i="14"/>
  <c r="K29" i="11"/>
  <c r="K42" i="11" s="1"/>
  <c r="J72" i="14"/>
  <c r="I72" i="14"/>
  <c r="J153" i="3"/>
  <c r="I101" i="3"/>
  <c r="I143" i="3" s="1"/>
  <c r="J17" i="14" l="1"/>
  <c r="J34" i="16"/>
  <c r="K34" i="16"/>
  <c r="K17" i="14"/>
  <c r="K18" i="13"/>
  <c r="K31" i="13" s="1"/>
  <c r="K49" i="13" s="1"/>
  <c r="I167" i="3"/>
  <c r="J167" i="3"/>
  <c r="G36" i="12" l="1"/>
  <c r="F37" i="16" s="1"/>
  <c r="G57" i="12" l="1"/>
  <c r="G22" i="12" s="1"/>
  <c r="F12" i="14" l="1"/>
  <c r="F13" i="14"/>
  <c r="G12" i="13"/>
  <c r="G23" i="12"/>
  <c r="F36" i="16" s="1"/>
  <c r="F50" i="13"/>
  <c r="G25" i="12" l="1"/>
  <c r="F14" i="14"/>
  <c r="F53" i="13"/>
  <c r="I30" i="7"/>
  <c r="J30" i="7"/>
  <c r="L30" i="7"/>
  <c r="K30" i="7"/>
  <c r="K19" i="7"/>
  <c r="J19" i="7"/>
  <c r="L19" i="7"/>
  <c r="I19" i="7"/>
  <c r="I41" i="7" s="1"/>
  <c r="I46" i="7" s="1"/>
  <c r="I55" i="7" s="1"/>
  <c r="L41" i="7" l="1"/>
  <c r="L46" i="7" s="1"/>
  <c r="L55" i="7" s="1"/>
  <c r="L205" i="7" s="1"/>
  <c r="L32" i="7"/>
  <c r="L38" i="7" s="1"/>
  <c r="J32" i="7"/>
  <c r="J38" i="7" s="1"/>
  <c r="I32" i="7"/>
  <c r="K32" i="7"/>
  <c r="K38" i="7" s="1"/>
  <c r="G50" i="11"/>
  <c r="F63" i="16" s="1"/>
  <c r="H205" i="7"/>
  <c r="J41" i="7"/>
  <c r="J46" i="7" s="1"/>
  <c r="J55" i="7" s="1"/>
  <c r="I205" i="7" s="1"/>
  <c r="K41" i="7"/>
  <c r="K46" i="7" s="1"/>
  <c r="K55" i="7" s="1"/>
  <c r="G33" i="14" l="1"/>
  <c r="G67" i="16"/>
  <c r="H33" i="14"/>
  <c r="H67" i="16"/>
  <c r="I33" i="14"/>
  <c r="I67" i="16"/>
  <c r="J50" i="11"/>
  <c r="I63" i="16" s="1"/>
  <c r="J58" i="7"/>
  <c r="H14" i="11" s="1"/>
  <c r="I38" i="7"/>
  <c r="K58" i="7"/>
  <c r="K94" i="7" s="1"/>
  <c r="K181" i="7" s="1"/>
  <c r="K207" i="7"/>
  <c r="L207" i="7"/>
  <c r="L58" i="7"/>
  <c r="L192" i="7" s="1"/>
  <c r="G51" i="11"/>
  <c r="J205" i="7"/>
  <c r="H50" i="11"/>
  <c r="G63" i="16" s="1"/>
  <c r="K205" i="7"/>
  <c r="I50" i="11"/>
  <c r="H63" i="16" s="1"/>
  <c r="J207" i="7"/>
  <c r="J51" i="11" l="1"/>
  <c r="I207" i="7"/>
  <c r="F33" i="14"/>
  <c r="F67" i="16"/>
  <c r="G22" i="16"/>
  <c r="G29" i="14"/>
  <c r="G28" i="14"/>
  <c r="G27" i="14"/>
  <c r="H207" i="7"/>
  <c r="I58" i="7"/>
  <c r="I94" i="7" s="1"/>
  <c r="I181" i="7" s="1"/>
  <c r="J94" i="7"/>
  <c r="J181" i="7" s="1"/>
  <c r="K192" i="7"/>
  <c r="K196" i="7" s="1"/>
  <c r="K203" i="7" s="1"/>
  <c r="I14" i="11"/>
  <c r="J192" i="7"/>
  <c r="H62" i="11" s="1"/>
  <c r="H67" i="11" s="1"/>
  <c r="H75" i="11" s="1"/>
  <c r="J14" i="11"/>
  <c r="L94" i="7"/>
  <c r="L181" i="7" s="1"/>
  <c r="L196" i="7"/>
  <c r="L203" i="7" s="1"/>
  <c r="J62" i="11"/>
  <c r="J67" i="11" s="1"/>
  <c r="J75" i="11" s="1"/>
  <c r="I51" i="11"/>
  <c r="H51" i="11"/>
  <c r="H19" i="11"/>
  <c r="I19" i="11" l="1"/>
  <c r="H29" i="14"/>
  <c r="H22" i="16"/>
  <c r="H28" i="14"/>
  <c r="H27" i="14"/>
  <c r="I29" i="14"/>
  <c r="I22" i="16"/>
  <c r="I28" i="14"/>
  <c r="I27" i="14"/>
  <c r="G32" i="14"/>
  <c r="G45" i="14"/>
  <c r="G14" i="11"/>
  <c r="H192" i="7"/>
  <c r="H196" i="7" s="1"/>
  <c r="H203" i="7" s="1"/>
  <c r="I62" i="11"/>
  <c r="I67" i="11" s="1"/>
  <c r="I75" i="11" s="1"/>
  <c r="I192" i="7"/>
  <c r="I196" i="7" s="1"/>
  <c r="I203" i="7" s="1"/>
  <c r="J196" i="7"/>
  <c r="J203" i="7" s="1"/>
  <c r="J19" i="11"/>
  <c r="I29" i="11"/>
  <c r="I42" i="11" s="1"/>
  <c r="H29" i="11"/>
  <c r="H42" i="11" s="1"/>
  <c r="G68" i="14" l="1"/>
  <c r="K68" i="14"/>
  <c r="F22" i="16"/>
  <c r="H34" i="16"/>
  <c r="I45" i="14"/>
  <c r="I32" i="14"/>
  <c r="H32" i="14"/>
  <c r="G66" i="16" s="1"/>
  <c r="H45" i="14"/>
  <c r="G34" i="16"/>
  <c r="G17" i="14"/>
  <c r="G26" i="14"/>
  <c r="G30" i="14"/>
  <c r="G25" i="14"/>
  <c r="G22" i="14"/>
  <c r="G23" i="14"/>
  <c r="G24" i="14"/>
  <c r="J68" i="14"/>
  <c r="F62" i="11"/>
  <c r="F67" i="11" s="1"/>
  <c r="F75" i="11" s="1"/>
  <c r="I68" i="14"/>
  <c r="F15" i="14"/>
  <c r="F29" i="14"/>
  <c r="G19" i="11"/>
  <c r="F27" i="14"/>
  <c r="F28" i="14"/>
  <c r="F68" i="14"/>
  <c r="H68" i="14"/>
  <c r="G62" i="11"/>
  <c r="G67" i="11" s="1"/>
  <c r="G75" i="11" s="1"/>
  <c r="J29" i="11"/>
  <c r="J42" i="11" s="1"/>
  <c r="H18" i="13"/>
  <c r="H31" i="13" s="1"/>
  <c r="H49" i="13" s="1"/>
  <c r="F66" i="16"/>
  <c r="I18" i="13"/>
  <c r="I31" i="13" s="1"/>
  <c r="I49" i="13" s="1"/>
  <c r="H17" i="14" l="1"/>
  <c r="J18" i="13"/>
  <c r="J31" i="13" s="1"/>
  <c r="J49" i="13" s="1"/>
  <c r="I17" i="14"/>
  <c r="I34" i="16"/>
  <c r="H24" i="14"/>
  <c r="H26" i="14"/>
  <c r="H23" i="14"/>
  <c r="H30" i="14"/>
  <c r="H25" i="14"/>
  <c r="H22" i="14"/>
  <c r="I25" i="14"/>
  <c r="I26" i="14"/>
  <c r="I23" i="14"/>
  <c r="I30" i="14"/>
  <c r="I24" i="14"/>
  <c r="I22" i="14"/>
  <c r="H67" i="14"/>
  <c r="K67" i="14"/>
  <c r="F32" i="14"/>
  <c r="F25" i="14" s="1"/>
  <c r="F16" i="14"/>
  <c r="J67" i="14"/>
  <c r="F45" i="14"/>
  <c r="I67" i="14"/>
  <c r="F67" i="14"/>
  <c r="G29" i="11"/>
  <c r="G42" i="11" s="1"/>
  <c r="G67" i="14"/>
  <c r="H66" i="16"/>
  <c r="H32" i="12" l="1"/>
  <c r="G16" i="14" s="1"/>
  <c r="F34" i="16"/>
  <c r="F24" i="14"/>
  <c r="F22" i="14"/>
  <c r="F23" i="14"/>
  <c r="F30" i="14"/>
  <c r="F26" i="14"/>
  <c r="F17" i="14"/>
  <c r="G18" i="13"/>
  <c r="G31" i="13" s="1"/>
  <c r="G49" i="13" s="1"/>
  <c r="G52" i="13" s="1"/>
  <c r="H12" i="13" s="1"/>
  <c r="H52" i="13" s="1"/>
  <c r="I12" i="13" s="1"/>
  <c r="I52" i="13" s="1"/>
  <c r="J12" i="13" s="1"/>
  <c r="J52" i="13" s="1"/>
  <c r="K12" i="13" s="1"/>
  <c r="K52" i="13" s="1"/>
  <c r="H36" i="12" l="1"/>
  <c r="G15" i="14" s="1"/>
  <c r="I32" i="12" l="1"/>
  <c r="H16" i="14" s="1"/>
  <c r="H57" i="12"/>
  <c r="H22" i="12" s="1"/>
  <c r="G37" i="16"/>
  <c r="G12" i="14"/>
  <c r="G13" i="14"/>
  <c r="G50" i="13"/>
  <c r="H23" i="12"/>
  <c r="I36" i="12" l="1"/>
  <c r="H15" i="14"/>
  <c r="H37" i="16"/>
  <c r="G36" i="16"/>
  <c r="G14" i="14"/>
  <c r="J32" i="12"/>
  <c r="I16" i="14" s="1"/>
  <c r="I57" i="12"/>
  <c r="I22" i="12" s="1"/>
  <c r="H25" i="12"/>
  <c r="G53" i="13"/>
  <c r="H12" i="14" l="1"/>
  <c r="H13" i="14"/>
  <c r="J36" i="12"/>
  <c r="H50" i="13"/>
  <c r="I23" i="12"/>
  <c r="H14" i="14" l="1"/>
  <c r="H36" i="16"/>
  <c r="I37" i="16"/>
  <c r="I15" i="14"/>
  <c r="I25" i="12"/>
  <c r="H53" i="13"/>
  <c r="J57" i="12"/>
  <c r="J22" i="12" s="1"/>
  <c r="K32" i="12"/>
  <c r="J16" i="14" s="1"/>
  <c r="I13" i="14" l="1"/>
  <c r="I12" i="14"/>
  <c r="K36" i="12"/>
  <c r="I50" i="13"/>
  <c r="J23" i="12"/>
  <c r="I14" i="14" l="1"/>
  <c r="I36" i="16"/>
  <c r="J37" i="16"/>
  <c r="J15" i="14"/>
  <c r="J25" i="12"/>
  <c r="I53" i="13"/>
  <c r="K57" i="12"/>
  <c r="K22" i="12" s="1"/>
  <c r="L32" i="12"/>
  <c r="J13" i="14" l="1"/>
  <c r="J12" i="14"/>
  <c r="L36" i="12"/>
  <c r="K16" i="14"/>
  <c r="L57" i="12"/>
  <c r="L22" i="12" s="1"/>
  <c r="K50" i="13" s="1"/>
  <c r="K23" i="12"/>
  <c r="J50" i="13"/>
  <c r="J14" i="14" l="1"/>
  <c r="J36" i="16"/>
  <c r="L23" i="12"/>
  <c r="K53" i="13" s="1"/>
  <c r="K15" i="14"/>
  <c r="K12" i="14"/>
  <c r="K37" i="16"/>
  <c r="K13" i="14"/>
  <c r="J53" i="13"/>
  <c r="K25" i="12"/>
  <c r="K14" i="14" l="1"/>
  <c r="K36" i="16"/>
  <c r="L2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Goedhart, R.</author>
    <author>Reinier Goedhart</author>
    <author>Keizer</author>
    <author>B Keizer</author>
  </authors>
  <commentList>
    <comment ref="D15" authorId="0" shapeId="0" xr:uid="{00000000-0006-0000-0200-000001000000}">
      <text>
        <r>
          <rPr>
            <sz val="8"/>
            <color indexed="81"/>
            <rFont val="Tahoma"/>
            <family val="2"/>
          </rPr>
          <t xml:space="preserve">
</t>
        </r>
        <r>
          <rPr>
            <sz val="10"/>
            <color indexed="81"/>
            <rFont val="Tahoma"/>
            <family val="2"/>
          </rPr>
          <t>Noteer de GGL zoals vermeld op de beschikking voor 2020-2021. Anders neemt het model voor 2020-2021 de GGL van 1 okt. 2020 op basis van het ingevulde OP- bestand.</t>
        </r>
      </text>
    </comment>
    <comment ref="D37" authorId="0" shapeId="0" xr:uid="{00000000-0006-0000-0200-000003000000}">
      <text>
        <r>
          <rPr>
            <sz val="9"/>
            <color indexed="81"/>
            <rFont val="Tahoma"/>
            <family val="2"/>
          </rPr>
          <t xml:space="preserve">
</t>
        </r>
        <r>
          <rPr>
            <sz val="10"/>
            <color indexed="81"/>
            <rFont val="Tahoma"/>
            <family val="2"/>
          </rPr>
          <t xml:space="preserve">Wanneer hier een minbedrag verschijnt, dan zijn er minder leerlingen  op de peildatum op de SBO dan 2% van de leerlingen in het SWV die toegerekend zijn aan deze school. Het model gaat ervan uit dat dit teveel bekostigde zorgformatie teruggestort wordt naar het SWV. 
</t>
        </r>
      </text>
    </comment>
    <comment ref="D38" authorId="1" shapeId="0" xr:uid="{00000000-0006-0000-0200-000004000000}">
      <text>
        <r>
          <rPr>
            <sz val="9"/>
            <color indexed="81"/>
            <rFont val="Tahoma"/>
            <family val="2"/>
          </rPr>
          <t>Hierbij wordt standaard uitgegaan van de landelijke GPL.</t>
        </r>
      </text>
    </comment>
    <comment ref="D45" authorId="0" shapeId="0" xr:uid="{00000000-0006-0000-0200-00000500000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86" authorId="2" shapeId="0" xr:uid="{00000000-0006-0000-0200-000006000000}">
      <text>
        <r>
          <rPr>
            <sz val="9"/>
            <color indexed="81"/>
            <rFont val="Tahoma"/>
            <family val="2"/>
          </rPr>
          <t xml:space="preserve">
Bedragen ontvangen van het SWV als generieke toekenningen, gelden als rijksbijdragen OCW.</t>
        </r>
      </text>
    </comment>
    <comment ref="D115" authorId="3" shapeId="0" xr:uid="{00000000-0006-0000-0200-000007000000}">
      <text>
        <r>
          <rPr>
            <sz val="9"/>
            <color indexed="81"/>
            <rFont val="Tahoma"/>
            <family val="2"/>
          </rPr>
          <t xml:space="preserve">
875 euro naar rato van diensttijd en werktijdfactor in de maand januari conform cao-po 2019-2020.</t>
        </r>
      </text>
    </comment>
    <comment ref="D116" authorId="3" shapeId="0" xr:uid="{00000000-0006-0000-0200-000008000000}">
      <text>
        <r>
          <rPr>
            <sz val="9"/>
            <color indexed="81"/>
            <rFont val="Tahoma"/>
            <family val="2"/>
          </rPr>
          <t xml:space="preserve">
33% van maandsalaris januari 2020 naar rato van diensttijd en werktijdfactor.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10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1000-000002000000}">
      <text>
        <r>
          <rPr>
            <sz val="9"/>
            <color indexed="81"/>
            <rFont val="Tahoma"/>
            <family val="2"/>
          </rPr>
          <t xml:space="preserve">
Aantal leerlingen op 1 okt. T-1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B13" authorId="0" shapeId="0" xr:uid="{00000000-0006-0000-1100-000001000000}">
      <text>
        <r>
          <rPr>
            <sz val="9"/>
            <color indexed="81"/>
            <rFont val="Tahoma"/>
            <family val="2"/>
          </rPr>
          <t>Definitieve regeling 2020-2021, juni 2021</t>
        </r>
      </text>
    </comment>
    <comment ref="C13" authorId="0" shapeId="0" xr:uid="{00000000-0006-0000-1100-000002000000}">
      <text>
        <r>
          <rPr>
            <sz val="9"/>
            <color indexed="81"/>
            <rFont val="Tahoma"/>
            <family val="2"/>
          </rPr>
          <t xml:space="preserve">
Tweede regeling 2020-2021, sept. 2020.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Bé Keizer</author>
    <author>Kitty Attema</author>
  </authors>
  <commentList>
    <comment ref="B15" authorId="0" shapeId="0" xr:uid="{00000000-0006-0000-12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2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B73E8F96-F4C6-42D6-A105-731E21A17C91}">
      <text>
        <r>
          <rPr>
            <sz val="9"/>
            <color indexed="81"/>
            <rFont val="Tahoma"/>
            <family val="2"/>
          </rPr>
          <t xml:space="preserve">Aanloopschalen a1 en a2 achterwege gelaten. Aanpassing min. loon per 1-7-2021 </t>
        </r>
      </text>
    </comment>
    <comment ref="C125" authorId="1" shapeId="0" xr:uid="{8BDA2E30-CB7A-4DBB-8176-FCFEFE6F3A1C}">
      <text>
        <r>
          <rPr>
            <b/>
            <sz val="9"/>
            <color indexed="81"/>
            <rFont val="Tahoma"/>
            <family val="2"/>
          </rPr>
          <t>Kitty Attema:</t>
        </r>
        <r>
          <rPr>
            <sz val="9"/>
            <color indexed="81"/>
            <rFont val="Tahoma"/>
            <family val="2"/>
          </rPr>
          <t xml:space="preserve">
aanpassing min.loon 1-7-2021
</t>
        </r>
      </text>
    </comment>
    <comment ref="C126" authorId="1" shapeId="0" xr:uid="{C022F09E-2299-4279-BB7C-9AB5416B87EA}">
      <text>
        <r>
          <rPr>
            <b/>
            <sz val="9"/>
            <color indexed="81"/>
            <rFont val="Tahoma"/>
            <family val="2"/>
          </rPr>
          <t>Kitty Attema:</t>
        </r>
        <r>
          <rPr>
            <sz val="9"/>
            <color indexed="81"/>
            <rFont val="Tahoma"/>
            <family val="2"/>
          </rPr>
          <t xml:space="preserve">
aanpassing min.loon 1-7-2021
</t>
        </r>
      </text>
    </comment>
    <comment ref="C127" authorId="1" shapeId="0" xr:uid="{F44DD973-11B9-4543-9111-90418A18770D}">
      <text>
        <r>
          <rPr>
            <b/>
            <sz val="9"/>
            <color indexed="81"/>
            <rFont val="Tahoma"/>
            <family val="2"/>
          </rPr>
          <t>Kitty Attema:</t>
        </r>
        <r>
          <rPr>
            <sz val="9"/>
            <color indexed="81"/>
            <rFont val="Tahoma"/>
            <family val="2"/>
          </rPr>
          <t xml:space="preserve">
aanpassing min.loon 1-7-2021
</t>
        </r>
      </text>
    </comment>
    <comment ref="C128" authorId="1" shapeId="0" xr:uid="{1417657E-F303-44A8-BC03-746EDF532CBB}">
      <text>
        <r>
          <rPr>
            <b/>
            <sz val="9"/>
            <color indexed="81"/>
            <rFont val="Tahoma"/>
            <family val="2"/>
          </rPr>
          <t>Kitty Attema:</t>
        </r>
        <r>
          <rPr>
            <sz val="9"/>
            <color indexed="81"/>
            <rFont val="Tahoma"/>
            <family val="2"/>
          </rPr>
          <t xml:space="preserve">
aanpassing min.loon 1-7-2021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Keizer</author>
    <author>Bé Keizer</author>
  </authors>
  <commentList>
    <comment ref="T12" authorId="0" shapeId="0" xr:uid="{00000000-0006-0000-03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xr:uid="{00000000-0006-0000-0300-000002000000}">
      <text>
        <r>
          <rPr>
            <sz val="9"/>
            <color indexed="81"/>
            <rFont val="Tahoma"/>
            <family val="2"/>
          </rPr>
          <t xml:space="preserve">
Opgave van naam is noodzakelijk voor het maken van de berekening.</t>
        </r>
      </text>
    </comment>
    <comment ref="E35" authorId="1" shapeId="0" xr:uid="{00000000-0006-0000-0300-000003000000}">
      <text>
        <r>
          <rPr>
            <sz val="9"/>
            <color indexed="81"/>
            <rFont val="Tahoma"/>
            <family val="2"/>
          </rPr>
          <t xml:space="preserve">
Opgave van naam is noodzakelijk voor het maken van de berekening.</t>
        </r>
      </text>
    </comment>
    <comment ref="E58" authorId="1" shapeId="0" xr:uid="{00000000-0006-0000-0300-000004000000}">
      <text>
        <r>
          <rPr>
            <sz val="9"/>
            <color indexed="81"/>
            <rFont val="Tahoma"/>
            <family val="2"/>
          </rPr>
          <t xml:space="preserve">
Opgave van naam is noodzakelijk voor het maken van de berekening.</t>
        </r>
      </text>
    </comment>
    <comment ref="E80" authorId="1" shapeId="0" xr:uid="{00000000-0006-0000-0300-000005000000}">
      <text>
        <r>
          <rPr>
            <sz val="9"/>
            <color indexed="81"/>
            <rFont val="Tahoma"/>
            <family val="2"/>
          </rPr>
          <t xml:space="preserve">
Opgave van naam is noodzakelijk voor het maken van de berekening.</t>
        </r>
      </text>
    </comment>
    <comment ref="E102" authorId="1" shapeId="0" xr:uid="{00000000-0006-0000-0300-000006000000}">
      <text>
        <r>
          <rPr>
            <sz val="9"/>
            <color indexed="81"/>
            <rFont val="Tahoma"/>
            <family val="2"/>
          </rPr>
          <t xml:space="preserve">
Opgave van naam is noodzakelijk voor het maken van de berekening.</t>
        </r>
      </text>
    </comment>
    <comment ref="E124" authorId="1" shapeId="0" xr:uid="{00000000-0006-0000-0300-000007000000}">
      <text>
        <r>
          <rPr>
            <sz val="9"/>
            <color indexed="81"/>
            <rFont val="Tahoma"/>
            <family val="2"/>
          </rPr>
          <t xml:space="preserve">
Opgave van naam is noodzakelijk voor het maken van de berekening.</t>
        </r>
      </text>
    </comment>
    <comment ref="E146" authorId="1" shapeId="0" xr:uid="{00000000-0006-0000-0300-000008000000}">
      <text>
        <r>
          <rPr>
            <sz val="9"/>
            <color indexed="81"/>
            <rFont val="Tahoma"/>
            <family val="2"/>
          </rPr>
          <t xml:space="preserve">
Opgave van naam is noodzakelijk voor het maken van de berekening.</t>
        </r>
      </text>
    </comment>
    <comment ref="E168" authorId="1" shapeId="0" xr:uid="{B1776FF0-D20B-4FEF-9D5F-FFE7A9972AD8}">
      <text>
        <r>
          <rPr>
            <sz val="9"/>
            <color indexed="81"/>
            <rFont val="Tahoma"/>
            <family val="2"/>
          </rPr>
          <t xml:space="preserve">
Opgave van naam is noodzakelijk voor het maken van de berekening.</t>
        </r>
      </text>
    </comment>
    <comment ref="D198" authorId="2" shapeId="0" xr:uid="{00000000-0006-0000-0300-000009000000}">
      <text>
        <r>
          <rPr>
            <sz val="9"/>
            <color indexed="81"/>
            <rFont val="Tahoma"/>
            <family val="2"/>
          </rPr>
          <t xml:space="preserve">
Aanloopschalen a1 en a2 achterwege gelaten. Aanpassing min. loon per 1-7-2019 zorgt dat de aanloopschalen dan tenminste 1635,60 zijn. </t>
        </r>
      </text>
    </comment>
    <comment ref="F207" authorId="2" shapeId="0" xr:uid="{00000000-0006-0000-0300-00000A000000}">
      <text>
        <r>
          <rPr>
            <sz val="9"/>
            <color indexed="81"/>
            <rFont val="Tahoma"/>
            <family val="2"/>
          </rPr>
          <t xml:space="preserve">
Aanloopschalen a1 en a2 achterwege gelaten. Aanpassing min. loon per 1-1-2020 zorgt dat de aanloopschalen dan tenminste 1653,60 zijn.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Keizer</author>
  </authors>
  <commentList>
    <comment ref="T12" authorId="0" shapeId="0" xr:uid="{00000000-0006-0000-04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xr:uid="{00000000-0006-0000-0400-000002000000}">
      <text>
        <r>
          <rPr>
            <sz val="9"/>
            <color indexed="81"/>
            <rFont val="Tahoma"/>
            <family val="2"/>
          </rPr>
          <t xml:space="preserve">
Opgave van naam is noodzakelijk voor het maken van de berekening.</t>
        </r>
      </text>
    </comment>
    <comment ref="E81" authorId="1" shapeId="0" xr:uid="{00000000-0006-0000-0400-000003000000}">
      <text>
        <r>
          <rPr>
            <sz val="9"/>
            <color indexed="81"/>
            <rFont val="Tahoma"/>
            <family val="2"/>
          </rPr>
          <t xml:space="preserve">
Opgave van naam is noodzakelijk voor het maken van de berekening.</t>
        </r>
      </text>
    </comment>
    <comment ref="E149" authorId="1" shapeId="0" xr:uid="{00000000-0006-0000-0400-000004000000}">
      <text>
        <r>
          <rPr>
            <sz val="9"/>
            <color indexed="81"/>
            <rFont val="Tahoma"/>
            <family val="2"/>
          </rPr>
          <t xml:space="preserve">
Opgave van naam is noodzakelijk voor het maken van de berekening.</t>
        </r>
      </text>
    </comment>
    <comment ref="E216" authorId="1" shapeId="0" xr:uid="{00000000-0006-0000-0400-000005000000}">
      <text>
        <r>
          <rPr>
            <sz val="9"/>
            <color indexed="81"/>
            <rFont val="Tahoma"/>
            <family val="2"/>
          </rPr>
          <t xml:space="preserve">
Opgave van naam is noodzakelijk voor het maken van de berekening.</t>
        </r>
      </text>
    </comment>
    <comment ref="E283" authorId="1" shapeId="0" xr:uid="{00000000-0006-0000-0400-000006000000}">
      <text>
        <r>
          <rPr>
            <sz val="9"/>
            <color indexed="81"/>
            <rFont val="Tahoma"/>
            <family val="2"/>
          </rPr>
          <t xml:space="preserve">
Opgave van naam is noodzakelijk voor het maken van de berekening.</t>
        </r>
      </text>
    </comment>
    <comment ref="E350" authorId="1" shapeId="0" xr:uid="{00000000-0006-0000-0400-000007000000}">
      <text>
        <r>
          <rPr>
            <sz val="9"/>
            <color indexed="81"/>
            <rFont val="Tahoma"/>
            <family val="2"/>
          </rPr>
          <t xml:space="preserve">
Opgave van naam is noodzakelijk voor het maken van de berekening.</t>
        </r>
      </text>
    </comment>
    <comment ref="E417" authorId="1" shapeId="0" xr:uid="{86EAD482-AB89-4070-8A5F-F3E19CA5BD92}">
      <text>
        <r>
          <rPr>
            <sz val="9"/>
            <color indexed="81"/>
            <rFont val="Tahoma"/>
            <family val="2"/>
          </rPr>
          <t xml:space="preserve">
Opgave van naam is noodzakelijk voor het maken van de berekening.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Reinier Goedhart</author>
    <author>Bé Keizer</author>
  </authors>
  <commentList>
    <comment ref="T12" authorId="0" shapeId="0" xr:uid="{00000000-0006-0000-05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D345" authorId="1" shapeId="0" xr:uid="{00000000-0006-0000-0500-000002000000}">
      <text>
        <r>
          <rPr>
            <sz val="9"/>
            <color indexed="81"/>
            <rFont val="Tahoma"/>
            <family val="2"/>
          </rPr>
          <t xml:space="preserve">
Aanloopschalen a1 en a2 achterwege gelaten.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Keizer</author>
    <author>Kitty Attema</author>
    <author>Bé Keizer</author>
    <author>Goedhart, R.</author>
    <author xml:space="preserve"> </author>
  </authors>
  <commentList>
    <comment ref="D18" authorId="0" shapeId="0" xr:uid="{00000000-0006-0000-0600-000001000000}">
      <text>
        <r>
          <rPr>
            <sz val="9"/>
            <color indexed="81"/>
            <rFont val="Tahoma"/>
            <family val="2"/>
          </rPr>
          <t xml:space="preserve">
</t>
        </r>
        <r>
          <rPr>
            <sz val="10"/>
            <color indexed="81"/>
            <rFont val="Tahoma"/>
            <family val="2"/>
          </rPr>
          <t>Dit is exclusief de betaling door het SWV van de zorgformatie voor het aantal leerlingen boven de 2% op de peildatum (1 februari voorafgaand aan het schooljaar). Het is hieronder opgenomen biij bekostiging via samenwerkngsverband. Zie verder de toelichting.</t>
        </r>
      </text>
    </comment>
    <comment ref="H21" authorId="1" shapeId="0" xr:uid="{326DDF08-840D-448A-8E38-CA7052707171}">
      <text>
        <r>
          <rPr>
            <b/>
            <sz val="9"/>
            <color indexed="81"/>
            <rFont val="Tahoma"/>
            <family val="2"/>
          </rPr>
          <t>gebruik de leerlingtelling van 1 oktober 2018!</t>
        </r>
      </text>
    </comment>
    <comment ref="D31" authorId="2" shapeId="0" xr:uid="{00000000-0006-0000-0600-000002000000}">
      <text>
        <r>
          <rPr>
            <sz val="9"/>
            <color indexed="81"/>
            <rFont val="Tahoma"/>
            <family val="2"/>
          </rPr>
          <t xml:space="preserve">
</t>
        </r>
        <r>
          <rPr>
            <sz val="10"/>
            <color indexed="81"/>
            <rFont val="Tahoma"/>
            <family val="2"/>
          </rPr>
          <t xml:space="preserve">Betreft het zorgbedrag voor het aantal leerlingen &gt;2% op de teldatum. Indien negatief betekent het dat het Rijk meer zorgbedrag verstrekt dan er leerlingen op de teldatum zijn. Dat teveel gaat dan in principe terug naar het SWV. </t>
        </r>
      </text>
    </comment>
    <comment ref="D32" authorId="2" shapeId="0" xr:uid="{00000000-0006-0000-0600-000003000000}">
      <text>
        <r>
          <rPr>
            <sz val="9"/>
            <color indexed="81"/>
            <rFont val="Tahoma"/>
            <family val="2"/>
          </rPr>
          <t xml:space="preserve">
</t>
        </r>
        <r>
          <rPr>
            <sz val="10"/>
            <color indexed="81"/>
            <rFont val="Tahoma"/>
            <family val="2"/>
          </rPr>
          <t>Indien er meer leerlingen op de peildatum zijn dan op de teldatum wordt een aanvullend bedrag door het SWV overgemaakt indien dat is afgesproken (Geg!F56).</t>
        </r>
      </text>
    </comment>
    <comment ref="D39" authorId="3" shapeId="0" xr:uid="{00000000-0006-0000-0600-00000400000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4" shapeId="0" xr:uid="{00000000-0006-0000-0600-000005000000}">
      <text>
        <r>
          <rPr>
            <sz val="10"/>
            <color indexed="81"/>
            <rFont val="Tahoma"/>
            <family val="2"/>
          </rPr>
          <t xml:space="preserve">
voor bepaling percentage, zie www.poraad.nl/toolbox: Londo bas</t>
        </r>
      </text>
    </comment>
    <comment ref="D119" authorId="3" shapeId="0" xr:uid="{00000000-0006-0000-0600-000006000000}">
      <text>
        <r>
          <rPr>
            <sz val="8"/>
            <color indexed="81"/>
            <rFont val="Tahoma"/>
            <family val="2"/>
          </rPr>
          <t xml:space="preserve">wordt ontleend aan het werkblad mop
</t>
        </r>
      </text>
    </comment>
    <comment ref="M190" authorId="2" shapeId="0" xr:uid="{00000000-0006-0000-0600-00000700000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7" authorId="0" shapeId="0" xr:uid="{00000000-0006-0000-0800-000001000000}">
      <text>
        <r>
          <rPr>
            <sz val="8"/>
            <color indexed="81"/>
            <rFont val="Tahoma"/>
            <family val="2"/>
          </rPr>
          <t xml:space="preserve">
hoeft niet te worden ingevuld</t>
        </r>
      </text>
    </comment>
    <comment ref="F7" authorId="0" shapeId="0" xr:uid="{00000000-0006-0000-0800-000002000000}">
      <text>
        <r>
          <rPr>
            <sz val="8"/>
            <color indexed="81"/>
            <rFont val="Tahoma"/>
            <family val="2"/>
          </rPr>
          <t xml:space="preserve">
hoeft niet te worden ingevuld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D87" authorId="0" shapeId="0" xr:uid="{00000000-0006-0000-0A00-000001000000}">
      <text>
        <r>
          <rPr>
            <sz val="9"/>
            <color indexed="81"/>
            <rFont val="Tahoma"/>
            <family val="2"/>
          </rPr>
          <t xml:space="preserve">
Aanloopschalen a1 en a2 achterwege gelaten.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18" authorId="0" shapeId="0" xr:uid="{00000000-0006-0000-0B00-000001000000}">
      <text>
        <r>
          <rPr>
            <sz val="9"/>
            <color indexed="81"/>
            <rFont val="Tahoma"/>
            <family val="2"/>
          </rPr>
          <t xml:space="preserve">
Bedragen ontvangen van het SWV gelden als rijksbijdragen OCW.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C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C00-00000200000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sharedStrings.xml><?xml version="1.0" encoding="utf-8"?>
<sst xmlns="http://schemas.openxmlformats.org/spreadsheetml/2006/main" count="2136" uniqueCount="637">
  <si>
    <t>FTE onderwijzend personeel</t>
  </si>
  <si>
    <t>versie</t>
  </si>
  <si>
    <t>Het model is beveiligd met het wachtwoord:</t>
  </si>
  <si>
    <t xml:space="preserve">onder Extra/Beveiliging/Blad beveiligen. </t>
  </si>
  <si>
    <t>Desgewenst kunt u het model dus aanpassen, maar kennis van Excel is dan wel vereist.</t>
  </si>
  <si>
    <t>meerdere SBO's deelnemen, maar de school als zodanig krijgt bekostiging voor iedere leerling. Deels door het Rijk en deels door het SWV.</t>
  </si>
  <si>
    <t>voorraden</t>
  </si>
  <si>
    <t>vorderingen</t>
  </si>
  <si>
    <t>effecten</t>
  </si>
  <si>
    <t>ouderbijdragen</t>
  </si>
  <si>
    <t>Ouderbijdragen</t>
  </si>
  <si>
    <t>Sponsoring</t>
  </si>
  <si>
    <t>Algemeen</t>
  </si>
  <si>
    <t>Salarissen en sociale lasten</t>
  </si>
  <si>
    <t>Grafieken (graf)</t>
  </si>
  <si>
    <t xml:space="preserve">In dit blad worden diverse kengetallen en de ontwikkeling daarvan grafisch weergegeven. </t>
  </si>
  <si>
    <t>De grafieken kunnen desgewenst worden gebruikt ter illustratie van het jaarverslag.</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</si>
  <si>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</si>
  <si>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</si>
  <si>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</si>
  <si>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</si>
  <si>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De gegevens en de prognose geven alle data die voor de berekening noodzakelijk zijn.</t>
  </si>
  <si>
    <t>Er is ook rekening gehouden met de mogelijkheid dat de school bestaat uit een hoofd- en (een door OCW erkende) nevenvestiging.</t>
  </si>
  <si>
    <t>aantal cumi leerlingen (v)so</t>
  </si>
  <si>
    <t>aantal SO-leerlingen</t>
  </si>
  <si>
    <t>aantal VSO-leerlingen</t>
  </si>
  <si>
    <t>Ontwikkeling aantal leerlingen peildatum</t>
  </si>
  <si>
    <t>In dit werkblad worden de afschrijvingen bepaald die ten laste van de (materiële) exploitatie van de school worden gebracht.</t>
  </si>
  <si>
    <t>in kaart worden gebracht.</t>
  </si>
  <si>
    <t>Kengetallen (kengetal)</t>
  </si>
  <si>
    <t>School zonder nevenvestiging</t>
  </si>
  <si>
    <t>Tabellen (tab)</t>
  </si>
  <si>
    <t>Nadere informatie</t>
  </si>
  <si>
    <t>MATERIEEL</t>
  </si>
  <si>
    <t>aantal leerlingen sbo</t>
  </si>
  <si>
    <t xml:space="preserve">Hier wordt op grond van de leerlingaantallen en de GGL de normatieve rijksbijdrage voor uw personeel/ formatie berekend. </t>
  </si>
  <si>
    <t>SOMMATIEGEGEVENS</t>
  </si>
  <si>
    <t>liquiditeit (vlottende activa / kortlopende schulden)</t>
  </si>
  <si>
    <t>mutatie Liquide middelen (balans)</t>
  </si>
  <si>
    <t>Eindsaldo liquide middelen</t>
  </si>
  <si>
    <t>Procedure</t>
  </si>
  <si>
    <t>1. Voer per jaar de bestedingen in bij "Onttrekking" die op grond van een recent meerjarenonderhoudsplan (MOP) worden voorgesteld.</t>
  </si>
  <si>
    <t>Stand voorziening onderhoud per 01-01</t>
  </si>
  <si>
    <t>Dotatie vanuit exploitatie (materieel)</t>
  </si>
  <si>
    <t>Onttrekking</t>
  </si>
  <si>
    <t>stand voorziening  per 31/12</t>
  </si>
  <si>
    <t>- meubilair</t>
  </si>
  <si>
    <t>- ICT</t>
  </si>
  <si>
    <t xml:space="preserve">activiteiten te kunnen financieren. Het corrigeren vindt plaats door per bekostigingselement een percentage vast te stellen dat bovenschools wordt </t>
  </si>
  <si>
    <t xml:space="preserve">loonkosten/ per FTE </t>
  </si>
  <si>
    <t>Gewogen Gemiddelde Leeftijd (1 oktober t-1)</t>
  </si>
  <si>
    <t xml:space="preserve">premies en dergelijke is opgenomen, maar uitgegaan wordt van een vast percentage als werkgeverslasten. </t>
  </si>
  <si>
    <t>In het tweede deel zijn de financiële kengetallen opgenomen, met daarbij eveneens een kolom waarin de bestuursnorm kan worden vastgelegd.</t>
  </si>
  <si>
    <t>Lasten</t>
  </si>
  <si>
    <t>aantal leerlingen op eigen sbo in dit swv</t>
  </si>
  <si>
    <t>Aantal leerlingen peildatum op eigen sbo in dit swv</t>
  </si>
  <si>
    <t>Aantal grensverkeerleerlingen, ingeschreven na peildatum</t>
  </si>
  <si>
    <t>Aanvullende overdracht MI van SWV o.b.v. peildatum</t>
  </si>
  <si>
    <t>zodat alle mogelijke uitgaven van personele aard hier kunnen worden opgegeven.</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</si>
  <si>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</si>
  <si>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</si>
  <si>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Bij dit werkblad geldt bovendien dat de gewogen gemiddelde leeftijd (GGL) wordt berekend op grond van de opgave van de geboortedatum van de </t>
  </si>
  <si>
    <t>personeelsleden in combinatie met de opgegeven werktijdfactor.</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</si>
  <si>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</si>
  <si>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</si>
  <si>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De lasten in het kader van de materiële instandhouding kunnen worden onderverdeeld in jaarlijkse en meerjaarlijkse kosten. De meerjaarlijkse</t>
  </si>
  <si>
    <t>kosten, te weten dotaties en afschrijvingen, worden berekend in de werkbladen "mop" en "mip". Voor de jaarlijkse kosten moet voor de komende</t>
  </si>
  <si>
    <t>vier jaren een prognose worden gemaakt.</t>
  </si>
  <si>
    <t>Activa</t>
  </si>
  <si>
    <t xml:space="preserve">De balans is voor zover mogelijk automatisch aangemaakt maar vergt nog aanvullende gegevens. De indeling spoort volledig met de voorschriften </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</si>
  <si>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</si>
  <si>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</si>
  <si>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</si>
  <si>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De exploitatie levert ook tal van kengetallen die er toe doen zoals relevante bedragen per leerling en verhoudingsgetallen. Die spreken voor zich.</t>
  </si>
  <si>
    <t>Teldatum: genormeerd aantal groepen (G)</t>
  </si>
  <si>
    <t>Teldatum: genormeerd bruto grondoppervlak (A)</t>
  </si>
  <si>
    <t>Peildatum: genormeerd aantal groepen (G)</t>
  </si>
  <si>
    <t>Peildatum: genormeerd bruto grondoppervlak (A)</t>
  </si>
  <si>
    <t>directietoeslag</t>
  </si>
  <si>
    <t>Minus: Overdrachten bestuur</t>
  </si>
  <si>
    <t xml:space="preserve">Overdracht naar bestuur </t>
  </si>
  <si>
    <t>o.b.v. percentage rijksbijdragen/ personele bekostiging</t>
  </si>
  <si>
    <t>Overdracht van bestuur</t>
  </si>
  <si>
    <t>saldo overdrachten</t>
  </si>
  <si>
    <t>Overige overheidsbijdragen en -subsidies</t>
  </si>
  <si>
    <t>baten werk in opdracht derden</t>
  </si>
  <si>
    <t>PERSONEEL</t>
  </si>
  <si>
    <t>Saldo personeel</t>
  </si>
  <si>
    <t>Totaal baten personeel</t>
  </si>
  <si>
    <t>Totaal lasten personeel</t>
  </si>
  <si>
    <t xml:space="preserve">Rijksbijdragen  </t>
  </si>
  <si>
    <t>Baten werk in opdracht van derden</t>
  </si>
  <si>
    <t>Overgedragen budget personeel</t>
  </si>
  <si>
    <t xml:space="preserve">loonkosten totaal </t>
  </si>
  <si>
    <t>Lasten personeelsbeleid</t>
  </si>
  <si>
    <t>o.b.v. percentage normatieve rijksbijdrage</t>
  </si>
  <si>
    <t>Berekening Londo peildatum</t>
  </si>
  <si>
    <t>Totaal lasten materieel</t>
  </si>
  <si>
    <t>Saldo materieel</t>
  </si>
  <si>
    <t xml:space="preserve">Het model gaat uit van de gegevens van uw school. Het kan wel zo zijn dat een SBO in meerdere verbanden deelneemt of dat in uw verband </t>
  </si>
  <si>
    <t>1. Basisgegevens (geg)</t>
  </si>
  <si>
    <t>2. Personeel (pers)</t>
  </si>
  <si>
    <t xml:space="preserve">teldatum 1 oktober </t>
  </si>
  <si>
    <t xml:space="preserve">Baten </t>
  </si>
  <si>
    <t>Saldo baten en lasten</t>
  </si>
  <si>
    <t>Dotatie jubilea</t>
  </si>
  <si>
    <t>Jubilea kosten</t>
  </si>
  <si>
    <t xml:space="preserve">De bekostiging door het samenwerkingsverband betreft met name de overdrachtsverplichting voor het aantal leerlingen op de peildatum boven </t>
  </si>
  <si>
    <t>de 2% en is apart zichtbaar.</t>
  </si>
  <si>
    <t>Zie de informatie die verstrekt is in de werkbladen Loonkosten directie resp. onderwijzend personeel.</t>
  </si>
  <si>
    <t>2.1 Loonkosten directie (dir)</t>
  </si>
  <si>
    <t>2.2 Loonkosten onderwijzend personeel (op)</t>
  </si>
  <si>
    <t>3. Materieel (mat)</t>
  </si>
  <si>
    <t>3.1 Meerjarenonderhoudsplan (mop)</t>
  </si>
  <si>
    <t>3.2 Meerjaren investeringsplan (mip)</t>
  </si>
  <si>
    <t>3.3 Activa</t>
  </si>
  <si>
    <t>4. Staat van Baten en Lasten (begr)</t>
  </si>
  <si>
    <t>5. Balans</t>
  </si>
  <si>
    <t xml:space="preserve">wordt aangevuld of dat juist op het eigen vermogen wordt ingeteerd. </t>
  </si>
  <si>
    <t xml:space="preserve">informatie van alle scholen bij elkaar opgeteld tezamen met de baten en lasten van het bestuurskantoor. Hierdoor ontstaat ook op bestuursniveau </t>
  </si>
  <si>
    <t>baten werk in opdracht van derden</t>
  </si>
  <si>
    <t>Totaal baten materieel</t>
  </si>
  <si>
    <t>STAAT VAN BATEN EN LASTEN</t>
  </si>
  <si>
    <t>Baten</t>
  </si>
  <si>
    <t xml:space="preserve">Saldo baten en lasten </t>
  </si>
  <si>
    <t>Saldo financiële baten en lasten</t>
  </si>
  <si>
    <t>Rijksbijdragen OCW</t>
  </si>
  <si>
    <t>College-, cursus-, les- en examengelden</t>
  </si>
  <si>
    <t>Overgedragen budget naar bestuursniveau</t>
  </si>
  <si>
    <t>Budget personeel</t>
  </si>
  <si>
    <t>Budget materieel</t>
  </si>
  <si>
    <t xml:space="preserve">Resultaat </t>
  </si>
  <si>
    <t>basisbedrag</t>
  </si>
  <si>
    <t xml:space="preserve"> 2% alle lln swv en toegerekend aan deze school</t>
  </si>
  <si>
    <t xml:space="preserve">Overige lasten </t>
  </si>
  <si>
    <t>Resultaat</t>
  </si>
  <si>
    <t>Bijvoorbeeld als het bestuur meer dan één school omvat en dan verplicht is een balans op bestuursniveau te maken.</t>
  </si>
  <si>
    <t>dienst</t>
  </si>
  <si>
    <t xml:space="preserve">jaren </t>
  </si>
  <si>
    <t>leeftijd</t>
  </si>
  <si>
    <t>WTF</t>
  </si>
  <si>
    <t>DA</t>
  </si>
  <si>
    <t>DB</t>
  </si>
  <si>
    <t>DC</t>
  </si>
  <si>
    <t>AB</t>
  </si>
  <si>
    <t>AC</t>
  </si>
  <si>
    <t>AD</t>
  </si>
  <si>
    <t>DD</t>
  </si>
  <si>
    <t>DE</t>
  </si>
  <si>
    <t>AE</t>
  </si>
  <si>
    <t>Groepsafhankelijke PvE's</t>
  </si>
  <si>
    <t xml:space="preserve"> </t>
  </si>
  <si>
    <t>Leerlingafhankelijke PvE's</t>
  </si>
  <si>
    <t>dotatie aan de voorziening jubilea</t>
  </si>
  <si>
    <t>overdracht SWV i.v.m. lln. boven 2% (teldatum)</t>
  </si>
  <si>
    <t>overdracht SWV i.v.m. lln. toename (peildatum)</t>
  </si>
  <si>
    <t>éénmalig</t>
  </si>
  <si>
    <t>basisformatie per ll</t>
  </si>
  <si>
    <t>zorgformatie vast</t>
  </si>
  <si>
    <t>zorgformatie per ll</t>
  </si>
  <si>
    <t xml:space="preserve">cumi-formatie per ll. </t>
  </si>
  <si>
    <t>B = cumi-leerling</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</si>
  <si>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</si>
  <si>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</si>
  <si>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</si>
  <si>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</si>
  <si>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</si>
  <si>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</si>
  <si>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</si>
  <si>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</si>
  <si>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</si>
  <si>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</si>
  <si>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</si>
  <si>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</si>
  <si>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</si>
  <si>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</si>
  <si>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</si>
  <si>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</si>
  <si>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</si>
  <si>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</si>
  <si>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schooljaar</t>
  </si>
  <si>
    <t>naam</t>
  </si>
  <si>
    <t>onderwijzend personeel</t>
  </si>
  <si>
    <t>Budget PAB</t>
  </si>
  <si>
    <t>A = leerling</t>
  </si>
  <si>
    <t>basisbedrag=</t>
  </si>
  <si>
    <t xml:space="preserve">Materieel </t>
  </si>
  <si>
    <t xml:space="preserve">WTF </t>
  </si>
  <si>
    <t>GGL</t>
  </si>
  <si>
    <t>aanschaf</t>
  </si>
  <si>
    <t>bedrag</t>
  </si>
  <si>
    <t>jaar van</t>
  </si>
  <si>
    <t>loonkosten</t>
  </si>
  <si>
    <t>situatie per</t>
  </si>
  <si>
    <t>leerlingafhankelijke vergoeding</t>
  </si>
  <si>
    <t>termijn</t>
  </si>
  <si>
    <t>MEERJARENBALANS</t>
  </si>
  <si>
    <t>(maand)</t>
  </si>
  <si>
    <t>landelijke GGL</t>
  </si>
  <si>
    <t>Landelijke GPL</t>
  </si>
  <si>
    <t>OP voet</t>
  </si>
  <si>
    <t>OP lftafh.</t>
  </si>
  <si>
    <t>loonkosten OP</t>
  </si>
  <si>
    <t>loonkosten directie</t>
  </si>
  <si>
    <t>leeft</t>
  </si>
  <si>
    <t>Voorzieningen</t>
  </si>
  <si>
    <t>schaal</t>
  </si>
  <si>
    <t>loonkosten directie / totale loonkosten</t>
  </si>
  <si>
    <t>loonkosten OP / totale loonkosten</t>
  </si>
  <si>
    <t>omrekening naar kalenderjaar</t>
  </si>
  <si>
    <t>afschrijving</t>
  </si>
  <si>
    <t>Financiële kengetallen</t>
  </si>
  <si>
    <t>Indices</t>
  </si>
  <si>
    <t>investering</t>
  </si>
  <si>
    <t>De baten worden per kalenderjaar berekend conform de Rijksbijdrage, conform de laatst bekende gegevens van de Londo-regeling.</t>
  </si>
  <si>
    <t>een meerjarig zicht op de exploitatie en balans.</t>
  </si>
  <si>
    <t>Conform de indeling van de jaarrekening is nog opgave mogelijk voor overige overheidsbijdragen c.q. overige baten voor personeel.</t>
  </si>
  <si>
    <t>Ontwikkeling baten werk in opdracht van derden</t>
  </si>
  <si>
    <t>Rentabiliteit</t>
  </si>
  <si>
    <t>GRAFIEKEN</t>
  </si>
  <si>
    <t>omslagpunt lln. directietoeslag</t>
  </si>
  <si>
    <t>(G)</t>
  </si>
  <si>
    <t xml:space="preserve">br. grondopp. </t>
  </si>
  <si>
    <t>(A)</t>
  </si>
  <si>
    <t>kosten</t>
  </si>
  <si>
    <t>trede</t>
  </si>
  <si>
    <t>Hoofdvestiging</t>
  </si>
  <si>
    <t>teldatum</t>
  </si>
  <si>
    <t>Financiële baten</t>
  </si>
  <si>
    <t>Financiële lasten</t>
  </si>
  <si>
    <t>Solvabiliteit 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</si>
  <si>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</si>
  <si>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</si>
  <si>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</si>
  <si>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</si>
  <si>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</si>
  <si>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</si>
  <si>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</si>
  <si>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</si>
  <si>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</si>
  <si>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</si>
  <si>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</si>
  <si>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</si>
  <si>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</si>
  <si>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</si>
  <si>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</si>
  <si>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Overige instellingslasten</t>
  </si>
  <si>
    <t>Ministerie van OCW</t>
  </si>
  <si>
    <t>Kredietinstellingen</t>
  </si>
  <si>
    <t>Overige langlopende schulden</t>
  </si>
  <si>
    <t>Belastingen en premies sociale verzekeringen</t>
  </si>
  <si>
    <t>Schulden terzake pensioenen</t>
  </si>
  <si>
    <t>Overige kortlopende schulden</t>
  </si>
  <si>
    <t>Overlopende passiva</t>
  </si>
  <si>
    <t>Ontwikkeling totale baten</t>
  </si>
  <si>
    <t>Ontwikkeling totale lasten</t>
  </si>
  <si>
    <t>investeringen t.l.v. school</t>
  </si>
  <si>
    <t>groot onderhoud t.l.v. school</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</si>
  <si>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</si>
  <si>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</si>
  <si>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</si>
  <si>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</si>
  <si>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</si>
  <si>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</si>
  <si>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</si>
  <si>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</si>
  <si>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</si>
  <si>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</si>
  <si>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</si>
  <si>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</si>
  <si>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</si>
  <si>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</si>
  <si>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</si>
  <si>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geboorte</t>
  </si>
  <si>
    <t>datum</t>
  </si>
  <si>
    <t>gebdat</t>
  </si>
  <si>
    <t>dir</t>
  </si>
  <si>
    <t>op</t>
  </si>
  <si>
    <t>berek I</t>
  </si>
  <si>
    <t>berek II</t>
  </si>
  <si>
    <t>kortlopende schulden</t>
  </si>
  <si>
    <t>totale baten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</si>
  <si>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</si>
  <si>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</si>
  <si>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</si>
  <si>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</si>
  <si>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</si>
  <si>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</si>
  <si>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</si>
  <si>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</si>
  <si>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</si>
  <si>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(Des)investeringen immateriële vaste activa</t>
  </si>
  <si>
    <t>(Des)investeringen materiële vaste activa</t>
  </si>
  <si>
    <t>(Des)investeringen financiële vaste activa</t>
  </si>
  <si>
    <t>Mutaties voorzieningen</t>
  </si>
  <si>
    <t>Kasstroom uit financieringsactiviteiten</t>
  </si>
  <si>
    <t>KASSTROOMOVERZICHT</t>
  </si>
  <si>
    <t>diensttijd</t>
  </si>
  <si>
    <t>totaal leerlingafhankelijk</t>
  </si>
  <si>
    <t>groepen</t>
  </si>
  <si>
    <t>toename</t>
  </si>
  <si>
    <t>norm na 6</t>
  </si>
  <si>
    <t>extra na 13</t>
  </si>
  <si>
    <t xml:space="preserve">salaris </t>
  </si>
  <si>
    <t>Ontwikkeling overige lasten (materieel)</t>
  </si>
  <si>
    <t>Ontwikkeling lasten personeelsbeleid</t>
  </si>
  <si>
    <t>Ontwikkeling salarislasten</t>
  </si>
  <si>
    <t>Ontwikkeling aantal FTE (schooljaar)</t>
  </si>
  <si>
    <t>meerh sbo DB10</t>
  </si>
  <si>
    <t>meerh sbo DB11</t>
  </si>
  <si>
    <t>meerh sbo DCuit15</t>
  </si>
  <si>
    <t>meerh sbo DC13</t>
  </si>
  <si>
    <t>Budget voor personeels- en arbeidsmarktbeleid</t>
  </si>
  <si>
    <t>meerh bas DA11</t>
  </si>
  <si>
    <t>waarvan cumi-leerlingen</t>
  </si>
  <si>
    <t>Peildatum</t>
  </si>
  <si>
    <t>basisformatie</t>
  </si>
  <si>
    <t>zorgformatie sbao</t>
  </si>
  <si>
    <t>cumi formatie</t>
  </si>
  <si>
    <t>basisformatie vast</t>
  </si>
  <si>
    <t>cumi- formatie vast</t>
  </si>
  <si>
    <t>grensverkeer na peildatum komend schooljaar</t>
  </si>
  <si>
    <t>aantal leerlingen teldatum</t>
  </si>
  <si>
    <t>aantal leerlingen peildatum</t>
  </si>
  <si>
    <t xml:space="preserve">Teldatum </t>
  </si>
  <si>
    <t>Totaal aantal leerlingen peildatum</t>
  </si>
  <si>
    <t>BASISGEGEVENS</t>
  </si>
  <si>
    <t>grootboeknr.</t>
  </si>
  <si>
    <t>Totaal aantal leerlingen teldatum</t>
  </si>
  <si>
    <t>Zorgbedrag</t>
  </si>
  <si>
    <t>Gegevens teldatum</t>
  </si>
  <si>
    <t>MEERJARENINVESTERINGSPLAN (MIP)</t>
  </si>
  <si>
    <t>leermiddelen PO</t>
  </si>
  <si>
    <t xml:space="preserve">Exploitatie kengetallen </t>
  </si>
  <si>
    <t>Lasten Personeelsbeleid</t>
  </si>
  <si>
    <t>sponsoring</t>
  </si>
  <si>
    <t>baten personeel</t>
  </si>
  <si>
    <t>lasten personeel</t>
  </si>
  <si>
    <t>Procedure:</t>
  </si>
  <si>
    <t>- klik op rechter muisknop</t>
  </si>
  <si>
    <t>Eigen vermogen</t>
  </si>
  <si>
    <t>aantal vestigingen (incl. hoofdvestiging)</t>
  </si>
  <si>
    <t xml:space="preserve">kalenderjaar </t>
  </si>
  <si>
    <t>meubilair</t>
  </si>
  <si>
    <t>ICT</t>
  </si>
  <si>
    <t>gebouwen en terreinen</t>
  </si>
  <si>
    <t>overige materiële vaste activa</t>
  </si>
  <si>
    <t>Formatietoekenning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</si>
  <si>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</si>
  <si>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</si>
  <si>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</si>
  <si>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Sommatie (som)</t>
  </si>
  <si>
    <t>Algemene reserve</t>
  </si>
  <si>
    <t>Bestemmingsreserve 1</t>
  </si>
  <si>
    <t>Bestemmingsreserve 2</t>
  </si>
  <si>
    <t>Bestemmingsreserve 3</t>
  </si>
  <si>
    <t>Activa totaal</t>
  </si>
  <si>
    <t>Passiva</t>
  </si>
  <si>
    <t>Passiva totaal</t>
  </si>
  <si>
    <t xml:space="preserve">Dit werkblad omvat de gegevens die nodig zijn als een bestuur de resultaten van deze school sommeert met andere financiële gegevens. </t>
  </si>
  <si>
    <t>gebracht en/ of door het invullen van een bedrag. Dit bedrag wordt via het werkblad "som" ten gunste van de exploitatie van het bestuurskantoor gebracht.</t>
  </si>
  <si>
    <t xml:space="preserve">Door een vast percentage per bekostigingselement vast te stellen en/ of door het bepalen van een bedrag, kunnen gelden van de school </t>
  </si>
  <si>
    <t>bovenschools worden gebracht. Dit bedrag wordt via het werkblad 'som' ten gunste van de exploitatie van het bestuurskantoor gebracht.</t>
  </si>
  <si>
    <t>inventaris en apparatuur</t>
  </si>
  <si>
    <t>budget naar bestuur (personeel)</t>
  </si>
  <si>
    <t>budget naar bestuur (materieel)</t>
  </si>
  <si>
    <t>Naam school</t>
  </si>
  <si>
    <t>Brinnummer</t>
  </si>
  <si>
    <t>Datum laatste wijziging</t>
  </si>
  <si>
    <t>bovenschools</t>
  </si>
  <si>
    <t>aantal /</t>
  </si>
  <si>
    <t>eenheden</t>
  </si>
  <si>
    <t xml:space="preserve">aantal leerlingen onderbouw </t>
  </si>
  <si>
    <t xml:space="preserve">aantal leerlingen bovenbouw </t>
  </si>
  <si>
    <t>aantal gewichtsleerlingen</t>
  </si>
  <si>
    <t>aantal leerlingen bas</t>
  </si>
  <si>
    <t>FTE directie</t>
  </si>
  <si>
    <t>aanvullende bekostiging schoolleider 1</t>
  </si>
  <si>
    <t>aanvullende bekostiging schoolleider 2</t>
  </si>
  <si>
    <t>NOAT</t>
  </si>
  <si>
    <t>zorgbudget materieel (2% ll.)</t>
  </si>
  <si>
    <t>Normatieve Rijksbijdrage OCW</t>
  </si>
  <si>
    <t>salaristabellen</t>
  </si>
  <si>
    <t>poraad</t>
  </si>
  <si>
    <t>In het werkblad tabellen (tab) geldt daarentegen dat de gele cellen gewijzigd kunnen worden, de witte niet.</t>
  </si>
  <si>
    <t>www. poraad.nl</t>
  </si>
  <si>
    <t xml:space="preserve">Baten en lasten </t>
  </si>
  <si>
    <t>Overige voorzieningen</t>
  </si>
  <si>
    <t xml:space="preserve">Vaste activa </t>
  </si>
  <si>
    <t>1. Selecteer lichtgeel gearceerde gebied in dit werkblad</t>
  </si>
  <si>
    <t>2. Open sommatietiemodel</t>
  </si>
  <si>
    <t xml:space="preserve">- ga in linkerbovenhoek staan van het lichtgeel gearceerde gebied waarin selectie van deze school geplakt moet worden </t>
  </si>
  <si>
    <t xml:space="preserve">In dat geval zijn meer gegevens vereist. </t>
  </si>
  <si>
    <t>dotatie worden bepaald die per school dan wel bovenschools wordt ingevuld.</t>
  </si>
  <si>
    <t xml:space="preserve">Dit werkblad geeft een overzicht van alle baten en lasten per schooljaar en geeft daarom dus aan of het eigen vermogen van deze school  </t>
  </si>
  <si>
    <t>Ontwikkeling huisvestingslasten</t>
  </si>
  <si>
    <t>ja</t>
  </si>
  <si>
    <t>Hoofd- en nevenvestiging</t>
  </si>
  <si>
    <t>slechts invullen indien er sprake is van een officieel erkende nevenvestiging</t>
  </si>
  <si>
    <t xml:space="preserve">Nevenvestiging </t>
  </si>
  <si>
    <t>2. Verdeel de dotatielasten gelijkmatig over de jaren heen (egalisastie van kosten) op zo'n manier dat deze voorziening nooit negatief zal uitvallen.</t>
  </si>
  <si>
    <t>ACTIVAOVERZICHT</t>
  </si>
  <si>
    <t>Investeringen</t>
  </si>
  <si>
    <t>- klik op optie "plakken speciaal" en vink "waarden" aan (onder kopje "plakken")</t>
  </si>
  <si>
    <t>waarde 1/1</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</si>
  <si>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</si>
  <si>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</si>
  <si>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</si>
  <si>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</si>
  <si>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</si>
  <si>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</si>
  <si>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</si>
  <si>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</si>
  <si>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</si>
  <si>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</si>
  <si>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</si>
  <si>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2.1 Eigen Vermogen</t>
  </si>
  <si>
    <t>2.2 Voorzieningen</t>
  </si>
  <si>
    <t>2.3 Langlopende schulden</t>
  </si>
  <si>
    <t>2.4 Kortlopende schulden</t>
  </si>
  <si>
    <t>1.1 Immateriële vaste activa</t>
  </si>
  <si>
    <t>1.2 Materiële vaste activa</t>
  </si>
  <si>
    <t>1.3 Financiële vaste activa</t>
  </si>
  <si>
    <t>1.4  Voorraden</t>
  </si>
  <si>
    <t>1.5 Vorderingen</t>
  </si>
  <si>
    <t>1.6 Effecten (&lt; 1jaar)</t>
  </si>
  <si>
    <t xml:space="preserve">1.7 Liquide middelen </t>
  </si>
  <si>
    <t>jubilea</t>
  </si>
  <si>
    <t xml:space="preserve">Het werkblad kasstroomoverzicht houdt de liquiditeit en veranderingen daarin in beeld. </t>
  </si>
  <si>
    <t>Leerlingenprognose</t>
  </si>
  <si>
    <t>Personeels- en arbeidsmarktbeleid</t>
  </si>
  <si>
    <t xml:space="preserve">Daarnaast zijn tal van onderwerpen in het kader van personeelsbeleid aan de orde en is ruimte gelaten voor invullingen </t>
  </si>
  <si>
    <t>Prestatiebox</t>
  </si>
  <si>
    <t>bedrag per leerling</t>
  </si>
  <si>
    <t>verhoging t.o.v. vorig jaar:</t>
  </si>
  <si>
    <t xml:space="preserve">prestatiebox </t>
  </si>
  <si>
    <t>Speerpunt 1</t>
  </si>
  <si>
    <t>doel</t>
  </si>
  <si>
    <t>activiteit</t>
  </si>
  <si>
    <t>toelichting</t>
  </si>
  <si>
    <t xml:space="preserve">materiële kosten </t>
  </si>
  <si>
    <t>Speerpunt 2</t>
  </si>
  <si>
    <t>Speerpunt 3</t>
  </si>
  <si>
    <t>cumi-leerling afhankelijke vergoeding</t>
  </si>
  <si>
    <t>formatieve kosten</t>
  </si>
  <si>
    <t>overige personele kosten</t>
  </si>
  <si>
    <t>totale kosten</t>
  </si>
  <si>
    <t>Speerpunt 4</t>
  </si>
  <si>
    <t>LOONKOSTEN ONDERSTEUNEND EN BEHEERSPERSONEEL</t>
  </si>
  <si>
    <t>Saldo liquide middelen 31 dec t-1</t>
  </si>
  <si>
    <t>ondersteunend en beheerspersoneel</t>
  </si>
  <si>
    <t>loonkosten OBP</t>
  </si>
  <si>
    <t>obp</t>
  </si>
  <si>
    <t>basisbekostiging personeel</t>
  </si>
  <si>
    <t>ondersteuningsbekostiging personeel</t>
  </si>
  <si>
    <t>bekostiging BOA (cumi) personeel</t>
  </si>
  <si>
    <t>basisbekostiging personeel vanuit SWV</t>
  </si>
  <si>
    <t>ondersteuningsbekostiging personeel vanuit SWV</t>
  </si>
  <si>
    <t>Personele bekostiging</t>
  </si>
  <si>
    <t>Ondersteuningsbekostiging materieel</t>
  </si>
  <si>
    <t>loonkosten OBP / totale loonkosten</t>
  </si>
  <si>
    <t>kosten OBP per leering</t>
  </si>
  <si>
    <t>In dit model wordt er vanuit gegaan dat de bekostiging op basis van de teldatum bekostiging door het Rijk is, met de 2% bekostiging voor ondersteuning.</t>
  </si>
  <si>
    <t xml:space="preserve">teldatum. Het model gaat ervan uit dat die teveel bekostigde ondersteuning teruggestort wordt naar het SWV. </t>
  </si>
  <si>
    <t>Wanneer (een deel van) deze gelden weer naar de SBO wordt overgemaakt, kan dat als bijdrage samenwerkingsverband worden opgegeven.</t>
  </si>
  <si>
    <t>De uitkomst is dat voor iedere leerling zowel de ondersteunings- als de basisbekostiging wordt toegekend, deels via het Rijk, deels via het SWV.</t>
  </si>
  <si>
    <t>De voorschriften jaarrekening vereisen de opgave van 'baten werk in opdracht van derden'.</t>
  </si>
  <si>
    <t>2.3 Loonkosten ondersteunend en beheerspersoneel (obp)</t>
  </si>
  <si>
    <t>2018/19</t>
  </si>
  <si>
    <t>SBO op basis van landelijke GPL (overdracht)</t>
  </si>
  <si>
    <t>personele bekostiging BOA (cumi)</t>
  </si>
  <si>
    <t>basis- plus ondersteuningsbekostiging personeel</t>
  </si>
  <si>
    <t>Bij overdrachtverplichting SWV landelijke GPL van toepassing?</t>
  </si>
  <si>
    <t>peildatum 1 februari</t>
  </si>
  <si>
    <t>vanuit samenwerkingsverband passend onderwijs</t>
  </si>
  <si>
    <t>vanuit SWV passend onderwijs</t>
  </si>
  <si>
    <t>zie:</t>
  </si>
  <si>
    <t xml:space="preserve">Personeelslasten </t>
  </si>
  <si>
    <t>budget</t>
  </si>
  <si>
    <t>bijz.budget</t>
  </si>
  <si>
    <t>overgangs-</t>
  </si>
  <si>
    <t>duurz.inzet.</t>
  </si>
  <si>
    <t>oudere wn</t>
  </si>
  <si>
    <t>regel. bapo</t>
  </si>
  <si>
    <t>inzetbaarh.</t>
  </si>
  <si>
    <t>eigen bijdrage verlof (dir, op en oop)</t>
  </si>
  <si>
    <t>eigen bijdrage verlof (oop&lt;=8))</t>
  </si>
  <si>
    <t>werkgeverslasten bij verlof</t>
  </si>
  <si>
    <t>zonder</t>
  </si>
  <si>
    <t xml:space="preserve">met </t>
  </si>
  <si>
    <t>% eigen</t>
  </si>
  <si>
    <t>eigen bijdr</t>
  </si>
  <si>
    <t>bijdrage</t>
  </si>
  <si>
    <t>start.leerkr</t>
  </si>
  <si>
    <t>bsn</t>
  </si>
  <si>
    <t>werkg.ln.</t>
  </si>
  <si>
    <t>Kosten duurzame inzetbaarheid</t>
  </si>
  <si>
    <t>werkg. ln</t>
  </si>
  <si>
    <t>loonkn. uur</t>
  </si>
  <si>
    <t>excl. wg.ln</t>
  </si>
  <si>
    <t>incl. wg.ln</t>
  </si>
  <si>
    <t>per uur</t>
  </si>
  <si>
    <t>Duurzame inzetbaarheid (in uren)</t>
  </si>
  <si>
    <t>Loonkosten (incl. werkgeverslasten)</t>
  </si>
  <si>
    <t xml:space="preserve">uren </t>
  </si>
  <si>
    <t xml:space="preserve">kn. duurzame </t>
  </si>
  <si>
    <t>excl.duurz.inz</t>
  </si>
  <si>
    <t>Aantal FTE (incl. uren duurzame inzetbaarheid)</t>
  </si>
  <si>
    <t>De door het ministerie ontvangen (personele) lumpsum kan worden gecorrigeerd met een bedrag dat bovenschools wordt gebracht om bovenschoolse</t>
  </si>
  <si>
    <t xml:space="preserve">Wanneer bij 'ondersteuningsbekostiging vanuit SWV'  een minbedrag verschijnt, dan zijn er op de peildatum 1 februari minder leerlingen op de SBO dan op de </t>
  </si>
  <si>
    <t>nn</t>
  </si>
  <si>
    <t>Overige lasten</t>
  </si>
  <si>
    <t>aantal cumi leerlingen sbo</t>
  </si>
  <si>
    <t>aantal leerlingen so jonger dan 8 jaar</t>
  </si>
  <si>
    <t>aantal leerlingen so  8 jaar en ouder</t>
  </si>
  <si>
    <t>aantal leerlingen vso</t>
  </si>
  <si>
    <t>aantal plaatsen JJI en/of GJI</t>
  </si>
  <si>
    <t xml:space="preserve">     waarvan aantal SO-leerlingen</t>
  </si>
  <si>
    <t xml:space="preserve">     waarvan aantal VSO-leerlingen</t>
  </si>
  <si>
    <t>Kosten Duurzame inzetbaarheid</t>
  </si>
  <si>
    <t>FTE onderwijs ondersteunend personeel</t>
  </si>
  <si>
    <t>2020/21</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</si>
  <si>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</si>
  <si>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</si>
  <si>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</si>
  <si>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</si>
  <si>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</si>
  <si>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</si>
  <si>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</si>
  <si>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</si>
  <si>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</si>
  <si>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</si>
  <si>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Vanuit samenwerkingsverband Passend Onderwijs/ leerling</t>
  </si>
  <si>
    <t>leerling- FTE ratio</t>
  </si>
  <si>
    <t>leerling- directie ratio</t>
  </si>
  <si>
    <t>leerling- OP ratio</t>
  </si>
  <si>
    <t>leerling- OOP ratio</t>
  </si>
  <si>
    <t>baten per leerling (excl. financiële baten)</t>
  </si>
  <si>
    <t>lasten per leerling (excl. financiële lasten)</t>
  </si>
  <si>
    <t xml:space="preserve">Ontwikkeling aantal leerlingen </t>
  </si>
  <si>
    <t>Solvabiliteit 2</t>
  </si>
  <si>
    <t>FTE-leerling ratio's (lln op teldatum)</t>
  </si>
  <si>
    <t>Voorziening groot onderhoud</t>
  </si>
  <si>
    <t>Voorziening jubilea</t>
  </si>
  <si>
    <t>Voorziening duurzame inzetbaarheid (ouderenverlof)</t>
  </si>
  <si>
    <t>VOORZIENING GROOT ONDERHOUD (binnen- en buitenonderhoud)</t>
  </si>
  <si>
    <t>Overige Rijksbijdragen OCW</t>
  </si>
  <si>
    <t>Dotatie groot onderhoud (binnen- en buitenonderhoud)</t>
  </si>
  <si>
    <t xml:space="preserve">De kosten voor duurzame inzetbaarheid worden apart berekend. </t>
  </si>
  <si>
    <t>premies en dergelijke is opgenomen, maar uitgegaan wordt van een vast percentage aan werkgeverslasten.</t>
  </si>
  <si>
    <t>aangesloten zijn (zie modernisering) zullen rekening moeten houden met andere percentages).</t>
  </si>
  <si>
    <t>2021/22</t>
  </si>
  <si>
    <t>Speerpunt 5</t>
  </si>
  <si>
    <t>Weerstandsvermogen 1</t>
  </si>
  <si>
    <t>Weerstandsvermogen 2</t>
  </si>
  <si>
    <t>Generieke toekenningen vanuit SWV</t>
  </si>
  <si>
    <t>2022/23</t>
  </si>
  <si>
    <t xml:space="preserve">De berekening van de benodigde omvang van de jubileumvoorziening vindt afzonderlijk plaats op basis van de voorschriften jaarrekening </t>
  </si>
  <si>
    <t>Zo nodig is er ruimte voor specifieke afschrijving van de eerste waardering.</t>
  </si>
  <si>
    <t xml:space="preserve">U kunt dus de actuele waarde ontlenen aan de laatste bijgewerkte jaarrekening. </t>
  </si>
  <si>
    <t>De bijdragen vanuit het SWV worden als rijksinkomsten in de jaarrekening verwerkt.</t>
  </si>
  <si>
    <t>Hiervoor is het vereist dat nog niet afgeschreven investeringen en de toekomstige investeringen (gedurende tenminste de komende vijf jaren)</t>
  </si>
  <si>
    <t>L10</t>
  </si>
  <si>
    <t>L11</t>
  </si>
  <si>
    <t>L12</t>
  </si>
  <si>
    <t>L13</t>
  </si>
  <si>
    <t>L14</t>
  </si>
  <si>
    <t>meerh sbo DC 13</t>
  </si>
  <si>
    <t>2023/24</t>
  </si>
  <si>
    <t xml:space="preserve">Bij de lasten worden de loonkosten weergegeven die in afzonderlijke werkbladen (dir, op en oop) worden berekend. Daarbij zijn ook de eenmalige </t>
  </si>
  <si>
    <t>in de formules te gebruiken Zie onder 'formules' 'namen beheren'.</t>
  </si>
  <si>
    <t>Salaristabellen (saltab)</t>
  </si>
  <si>
    <t>2024/25</t>
  </si>
  <si>
    <t xml:space="preserve">De overdracht door DUO van de ondersteuningsbekostiging  is exclusief de betaling door het SWV van de ondersteuningsbekostiging voor het aantal leerlingen </t>
  </si>
  <si>
    <t>op de teldatum boven de 2% van het samenwerkingsverband. De overdracht door DUO uit het budget van het SWV wordt ook tot de Rijksbekostiging gerekend.</t>
  </si>
  <si>
    <t>Eenmalige nominale uitkering personeel</t>
  </si>
  <si>
    <t>Werkgeverslasten PO</t>
  </si>
  <si>
    <t>Personeel</t>
  </si>
  <si>
    <t>Beleid (verborgen)</t>
  </si>
  <si>
    <t xml:space="preserve">In dit werkblad kunt u uw beleidsdoelen zoals in uw beleidsplan opgenomen als speerpunten kwantificeren. Deze kwantificering is informatief </t>
  </si>
  <si>
    <t>en wordt niet verwerkt in de andere werkbladen. Het is bedoeld om de relatie tussen beleidsplan en begroting beter zichtbaar te maken.</t>
  </si>
  <si>
    <t xml:space="preserve">Wanneer een samenwerkingsverband ook extra geld voor materiële instandhouding overdraagt op basis van het aantal leerlingen </t>
  </si>
  <si>
    <t>SBO</t>
  </si>
  <si>
    <t>BEGROTING 2020: LINK BEGROTING MET BELEIDSPLAN</t>
  </si>
  <si>
    <t xml:space="preserve">Een nauwkeurige bepaling van het verwachte leerlingenaantal zorgt voor een zo deugdelijk mogelijke begroting van de inkomsten. </t>
  </si>
  <si>
    <t>Participatiebaan</t>
  </si>
  <si>
    <t>A10</t>
  </si>
  <si>
    <t>A11</t>
  </si>
  <si>
    <t>A12</t>
  </si>
  <si>
    <t>A13</t>
  </si>
  <si>
    <t>D11</t>
  </si>
  <si>
    <t>D12</t>
  </si>
  <si>
    <t>D13</t>
  </si>
  <si>
    <t>D14</t>
  </si>
  <si>
    <t>D15</t>
  </si>
  <si>
    <t>2025/26</t>
  </si>
  <si>
    <r>
      <t xml:space="preserve">Voor het eerste jaar wordt de GGL gelijk gesteld aan de opgave van uw personeelsbestand voor </t>
    </r>
    <r>
      <rPr>
        <b/>
        <sz val="10"/>
        <color rgb="FFC00000"/>
        <rFont val="Calibri"/>
        <family val="2"/>
      </rPr>
      <t>2019-2020</t>
    </r>
    <r>
      <rPr>
        <sz val="10"/>
        <rFont val="Calibri"/>
        <family val="2"/>
      </rPr>
      <t xml:space="preserve">, maar die moet u op basis van de </t>
    </r>
  </si>
  <si>
    <t xml:space="preserve">In dit werkblad dienen de personele gegevens te worden opgegeven die noodzakelijk zijn voor de berekening van de loonkosten. </t>
  </si>
  <si>
    <t xml:space="preserve">Uren ouderenverlof die gespaard worden, worden via deze berekening ook volledig ten laste van de exploitatie gebracht.  </t>
  </si>
  <si>
    <t xml:space="preserve">Voor dit werkblad geldt, afgezien van de tweede en derde volzin, hetgeen in het vorige werkblad is vermeld eveneens. </t>
  </si>
  <si>
    <t xml:space="preserve">Daarbij dient opgemerkt te worden dat dit een ruwe raming betreft en het wordt met klem aangeraden op grond van de eigen historische gegevens </t>
  </si>
  <si>
    <t>zo mogelijk een nauwkeuriger percentage vast te stellen.</t>
  </si>
  <si>
    <t>6. Kasstroomoverzicht ('liq')</t>
  </si>
  <si>
    <t>PC's</t>
  </si>
  <si>
    <r>
      <t>De werkgeverslasten zijn opgenomen in het tabellenwerkblad en zijn geraamd op 60%</t>
    </r>
    <r>
      <rPr>
        <sz val="10"/>
        <rFont val="Calibri"/>
        <family val="2"/>
      </rPr>
      <t xml:space="preserve">. </t>
    </r>
  </si>
  <si>
    <t>bekostiging personeel PO bij artikel 14.</t>
  </si>
  <si>
    <t>uitkeringen opgenomen die in februari 2020 zijn toegekend: de nominale uitkering en de 33% uitkering januarisalaris voor alle personeelsleden.</t>
  </si>
  <si>
    <t>die van toepassing zijn. Voor de berekening van deze omvang is er een apart instrument in de Toolbox. Op grond daarvan kan de omvang van de</t>
  </si>
  <si>
    <t xml:space="preserve">In de tabellen zijn de gegevens opgenomen die betrekking hebben op de onderliggende normeringen voor de bekostiging. In cel O55 kan het </t>
  </si>
  <si>
    <r>
      <t xml:space="preserve">feitelijke GGL van de telling van </t>
    </r>
    <r>
      <rPr>
        <b/>
        <sz val="10"/>
        <color rgb="FFC00000"/>
        <rFont val="Calibri"/>
        <family val="2"/>
      </rPr>
      <t>1 oktober 2018</t>
    </r>
    <r>
      <rPr>
        <sz val="10"/>
        <rFont val="Calibri"/>
        <family val="2"/>
      </rPr>
      <t xml:space="preserve"> overschrijven. U kunt deze GGL vinden op uw bekostigingsbeschikking 19-20. De GGL voor 20-21 kunt u vinden </t>
    </r>
  </si>
  <si>
    <t>(zie loonkosten onderwijzend personeel / werkblad "op")</t>
  </si>
  <si>
    <t>Reservepotje PF</t>
  </si>
  <si>
    <r>
      <t xml:space="preserve">op de </t>
    </r>
    <r>
      <rPr>
        <u/>
        <sz val="10"/>
        <rFont val="Calibri"/>
        <family val="2"/>
      </rPr>
      <t>peil</t>
    </r>
    <r>
      <rPr>
        <sz val="10"/>
        <rFont val="Calibri"/>
        <family val="2"/>
      </rPr>
      <t>datum (rij 56), moet u in dat geval 'ja' invullen. Het advies is dat wel te doen.</t>
    </r>
  </si>
  <si>
    <t xml:space="preserve">op de bekostigingsbeschikking voor 20-21, voor de jaren daarna wordt automatisch berekend op grond van het door u ingevulde OP-bestand. </t>
  </si>
  <si>
    <t xml:space="preserve">Deze baten worden berekend conform de laatst bekende gegevens van de regeling budget P&amp;A-budget. Zie ook de toelichting van de Tweede Regeling </t>
  </si>
  <si>
    <r>
      <t>LIO-ers</t>
    </r>
    <r>
      <rPr>
        <sz val="10"/>
        <rFont val="Calibri"/>
        <family val="2"/>
      </rPr>
      <t xml:space="preserve"> e.d. moeten daarom niet in dit werkblad maar in het werkblad voor ondersteunend en beheerspersoneel worden opgenomen.</t>
    </r>
  </si>
  <si>
    <r>
      <t xml:space="preserve">De gegevens van dit werkblad kunnen eenvoudig worden getransporteerd naar het </t>
    </r>
    <r>
      <rPr>
        <b/>
        <sz val="10"/>
        <color rgb="FFC00000"/>
        <rFont val="Calibri"/>
        <family val="2"/>
      </rPr>
      <t>Sommatiemodel bestuur GELD 2021</t>
    </r>
    <r>
      <rPr>
        <sz val="10"/>
        <rFont val="Calibri"/>
        <family val="2"/>
      </rPr>
      <t xml:space="preserve">. In dit model wordt de </t>
    </r>
  </si>
  <si>
    <t>indexeringspercentage voor de materiële bekostiging worden opgenomen zoals die in sept. 2020 bekend is geworden.</t>
  </si>
  <si>
    <t>2026/27</t>
  </si>
  <si>
    <t>Schoolleiding</t>
  </si>
  <si>
    <t>professionalisering/begeleiding starters schoolleiders</t>
  </si>
  <si>
    <t>prof/begeleiding starters schoolleiders</t>
  </si>
  <si>
    <t xml:space="preserve"> €                           -</t>
  </si>
  <si>
    <t xml:space="preserve"> - De laatst bekende salaristabellen van de CAO PO zijn in dit instrument verwerkt, incl. aanpassing min.loon per 1/7/2021.</t>
  </si>
  <si>
    <t>Alle data voor de bekostiging vindt u op het werkblad 'tab'; de salaristabellen staan in het werkblad saltab.</t>
  </si>
  <si>
    <t>Heeft u een vraag, dan kunt u deze stellen via het icoon op de pgaina van de juridische helpdesk van mijnporaad.nl (na inloggen in het ledenportaal).</t>
  </si>
  <si>
    <t>Bijzondere en aanvullende bekostiging t-2 (2020)</t>
  </si>
  <si>
    <t>Bijzondere en aanvullende bekostiging t-2</t>
  </si>
  <si>
    <t>Voorbeeldschool</t>
  </si>
  <si>
    <t>00AA</t>
  </si>
  <si>
    <r>
      <t xml:space="preserve">Voor materiële bekostiging (Londo) is gebruik gemaakt van de bedragen </t>
    </r>
    <r>
      <rPr>
        <b/>
        <sz val="10"/>
        <rFont val="Calibri"/>
        <family val="2"/>
      </rPr>
      <t>2022</t>
    </r>
    <r>
      <rPr>
        <sz val="10"/>
        <rFont val="Calibri"/>
        <family val="2"/>
      </rPr>
      <t>, conform de regeling van oktober 2021</t>
    </r>
    <r>
      <rPr>
        <b/>
        <sz val="10"/>
        <color rgb="FFC00000"/>
        <rFont val="Calibri"/>
        <family val="2"/>
      </rPr>
      <t>.</t>
    </r>
  </si>
  <si>
    <t xml:space="preserve"> - De bedragen van de publicatie Tweede Regeling bekostiging personeel PO van juli 2021 zijn verwerkt.</t>
  </si>
  <si>
    <t>In deze applicatie zijn de bedragen van de GPL's tot en met juli 2021 verwerkt,</t>
  </si>
  <si>
    <t xml:space="preserve">De salaristabellen die van toepassing zijn op grond van de cao 2021 zijn hier afzonderlijk opgenomen en van een naam voorzien om </t>
  </si>
  <si>
    <r>
      <t>(Zie in dit kader ook de tool "</t>
    </r>
    <r>
      <rPr>
        <b/>
        <sz val="10"/>
        <color rgb="FFFF0000"/>
        <rFont val="Calibri"/>
        <family val="2"/>
      </rPr>
      <t>werkgeverslasten po 2022</t>
    </r>
    <r>
      <rPr>
        <sz val="10"/>
        <rFont val="Calibri"/>
        <family val="2"/>
      </rPr>
      <t xml:space="preserve">" in de toolbox van de PO-Raad. Met name ook schoolbesturen die niet bij het Vervangingsfonds </t>
    </r>
  </si>
  <si>
    <t>Handleiding bij Meerjarenbegroting voor de speciale basisschool 2022</t>
  </si>
  <si>
    <t xml:space="preserve">U moet het percentage werkgeverslasten ZELF goed invullen op het tabblad &lt;tab&gt; cel C50.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</si>
</sst>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_-&quot;€&quot;\ * #,##0_-;[Red]_-&quot;€&quot;\ * #,##0\-;_-&quot;€&quot;\ * &quot;-&quot;??_-;_-@_-"/>
    <numFmt numFmtId="169" formatCode="&quot;€&quot;\ #,##0_-"/>
    <numFmt numFmtId="170" formatCode="#,##0_ ;\-#,##0\ "/>
    <numFmt numFmtId="171" formatCode="0.0000"/>
    <numFmt numFmtId="172" formatCode="d\ mmmm\ yyyy"/>
    <numFmt numFmtId="173" formatCode="dd/mm/yy"/>
    <numFmt numFmtId="174" formatCode="0.0%"/>
    <numFmt numFmtId="175" formatCode="#,##0.0000_ ;\-#,##0.0000\ "/>
    <numFmt numFmtId="176" formatCode="_-&quot;€&quot;\ * #,##0.000000_-;_-&quot;€&quot;\ * #,##0.000000\-;_-&quot;€&quot;\ * &quot;-&quot;_-;_-@_-"/>
    <numFmt numFmtId="177" formatCode="d/mmm/yyyy"/>
    <numFmt numFmtId="178" formatCode="#,##0.0_ ;\-#,##0.0\ "/>
    <numFmt numFmtId="179" formatCode="[$-413]d\ mmmm\ yyyy;@"/>
  </numFmts>
  <fonts count="102" x14ac:knownFonts="1">
    <font>
      <sz val="10"/>
      <name val="Arial"/>
    </font>
    <font>
      <sz val="10"/>
      <name val="Arial"/>
      <family val="2"/>
    </font>
    <font>
      <sz val="8"/>
      <color indexed="81"/>
      <name val="Tahoma"/>
      <family val="2"/>
    </font>
    <font>
      <u/>
      <sz val="10"/>
      <color indexed="12"/>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u/>
      <sz val="10"/>
      <name val="Calibri"/>
      <family val="2"/>
    </font>
    <font>
      <sz val="10"/>
      <name val="Calibri"/>
      <family val="2"/>
    </font>
    <font>
      <b/>
      <sz val="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b/>
      <sz val="12"/>
      <name val="Calibri"/>
      <family val="2"/>
    </font>
    <font>
      <b/>
      <sz val="11"/>
      <name val="Calibri"/>
      <family val="2"/>
    </font>
    <font>
      <i/>
      <sz val="10"/>
      <name val="Calibri"/>
      <family val="2"/>
    </font>
    <font>
      <sz val="11"/>
      <name val="Calibri"/>
      <family val="2"/>
    </font>
    <font>
      <sz val="14"/>
      <name val="Calibri"/>
      <family val="2"/>
    </font>
    <font>
      <b/>
      <sz val="8"/>
      <name val="Calibri"/>
      <family val="2"/>
    </font>
    <font>
      <b/>
      <sz val="11"/>
      <color indexed="10"/>
      <name val="Calibri"/>
      <family val="2"/>
    </font>
    <font>
      <u/>
      <sz val="10"/>
      <color indexed="12"/>
      <name val="Calibri"/>
      <family val="2"/>
    </font>
    <font>
      <sz val="10"/>
      <color indexed="10"/>
      <name val="Calibri"/>
      <family val="2"/>
    </font>
    <font>
      <b/>
      <sz val="14"/>
      <color indexed="10"/>
      <name val="Calibri"/>
      <family val="2"/>
    </font>
    <font>
      <b/>
      <i/>
      <sz val="14"/>
      <color indexed="10"/>
      <name val="Calibri"/>
      <family val="2"/>
    </font>
    <font>
      <i/>
      <sz val="14"/>
      <color indexed="10"/>
      <name val="Calibri"/>
      <family val="2"/>
    </font>
    <font>
      <sz val="10"/>
      <color indexed="60"/>
      <name val="Calibri"/>
      <family val="2"/>
    </font>
    <font>
      <b/>
      <sz val="14"/>
      <name val="Calibri"/>
      <family val="2"/>
    </font>
    <font>
      <b/>
      <i/>
      <sz val="10"/>
      <color indexed="53"/>
      <name val="Calibri"/>
      <family val="2"/>
    </font>
    <font>
      <b/>
      <sz val="10"/>
      <color indexed="53"/>
      <name val="Calibri"/>
      <family val="2"/>
    </font>
    <font>
      <i/>
      <sz val="10"/>
      <color indexed="10"/>
      <name val="Calibri"/>
      <family val="2"/>
    </font>
    <font>
      <b/>
      <i/>
      <sz val="10"/>
      <color indexed="10"/>
      <name val="Calibri"/>
      <family val="2"/>
    </font>
    <font>
      <sz val="14"/>
      <color indexed="10"/>
      <name val="Calibri"/>
      <family val="2"/>
    </font>
    <font>
      <b/>
      <sz val="10"/>
      <color indexed="10"/>
      <name val="Calibri"/>
      <family val="2"/>
    </font>
    <font>
      <sz val="10"/>
      <color indexed="8"/>
      <name val="Calibri"/>
      <family val="2"/>
    </font>
    <font>
      <b/>
      <i/>
      <sz val="14"/>
      <name val="Calibri"/>
      <family val="2"/>
    </font>
    <font>
      <b/>
      <sz val="10"/>
      <color indexed="10"/>
      <name val="Calibri"/>
      <family val="2"/>
    </font>
    <font>
      <sz val="10"/>
      <color indexed="60"/>
      <name val="Calibri"/>
      <family val="2"/>
    </font>
    <font>
      <b/>
      <i/>
      <sz val="10"/>
      <color indexed="60"/>
      <name val="Calibri"/>
      <family val="2"/>
    </font>
    <font>
      <b/>
      <sz val="10"/>
      <color indexed="60"/>
      <name val="Calibri"/>
      <family val="2"/>
    </font>
    <font>
      <b/>
      <sz val="11"/>
      <color indexed="9"/>
      <name val="Calibri"/>
      <family val="2"/>
    </font>
    <font>
      <sz val="10"/>
      <color rgb="FFFF0000"/>
      <name val="Calibri"/>
      <family val="2"/>
    </font>
    <font>
      <b/>
      <sz val="10"/>
      <color rgb="FFFF0000"/>
      <name val="Calibri"/>
      <family val="2"/>
    </font>
    <font>
      <sz val="10"/>
      <color theme="1"/>
      <name val="Calibri"/>
      <family val="2"/>
    </font>
    <font>
      <b/>
      <i/>
      <sz val="10"/>
      <color theme="1"/>
      <name val="Calibri"/>
      <family val="2"/>
    </font>
    <font>
      <b/>
      <sz val="10"/>
      <color theme="1"/>
      <name val="Calibri"/>
      <family val="2"/>
    </font>
    <font>
      <sz val="10"/>
      <color rgb="FFC00000"/>
      <name val="Calibri"/>
      <family val="2"/>
    </font>
    <font>
      <b/>
      <i/>
      <sz val="10"/>
      <color rgb="FFC00000"/>
      <name val="Calibri"/>
      <family val="2"/>
    </font>
    <font>
      <b/>
      <sz val="10"/>
      <color rgb="FFC00000"/>
      <name val="Calibri"/>
      <family val="2"/>
    </font>
    <font>
      <i/>
      <sz val="10"/>
      <color rgb="FFC00000"/>
      <name val="Calibri"/>
      <family val="2"/>
    </font>
    <font>
      <i/>
      <sz val="10"/>
      <color theme="1"/>
      <name val="Calibri"/>
      <family val="2"/>
    </font>
    <font>
      <b/>
      <sz val="10"/>
      <color theme="2"/>
      <name val="Calibri"/>
      <family val="2"/>
    </font>
    <font>
      <i/>
      <sz val="10"/>
      <color theme="2"/>
      <name val="Calibri"/>
      <family val="2"/>
    </font>
    <font>
      <b/>
      <sz val="10"/>
      <color rgb="FF0070C0"/>
      <name val="Calibri"/>
      <family val="2"/>
    </font>
    <font>
      <sz val="10"/>
      <color rgb="FF0070C0"/>
      <name val="Calibri"/>
      <family val="2"/>
    </font>
    <font>
      <b/>
      <i/>
      <sz val="10"/>
      <color rgb="FF0070C0"/>
      <name val="Calibri"/>
      <family val="2"/>
    </font>
    <font>
      <b/>
      <i/>
      <sz val="10"/>
      <color theme="0"/>
      <name val="Calibri"/>
      <family val="2"/>
    </font>
    <font>
      <i/>
      <sz val="14"/>
      <color rgb="FFFF0000"/>
      <name val="Calibri"/>
      <family val="2"/>
    </font>
    <font>
      <sz val="12"/>
      <color rgb="FFFF0000"/>
      <name val="Calibri"/>
      <family val="2"/>
    </font>
    <font>
      <i/>
      <sz val="10"/>
      <color theme="1" tint="4.9989318521683403E-2"/>
      <name val="Calibri"/>
      <family val="2"/>
    </font>
    <font>
      <i/>
      <sz val="10"/>
      <color rgb="FF0070C0"/>
      <name val="Calibri"/>
      <family val="2"/>
    </font>
    <font>
      <i/>
      <sz val="14"/>
      <color rgb="FFC00000"/>
      <name val="Calibri"/>
      <family val="2"/>
    </font>
    <font>
      <sz val="10"/>
      <color rgb="FF002060"/>
      <name val="Calibri"/>
      <family val="2"/>
    </font>
    <font>
      <b/>
      <sz val="10"/>
      <color indexed="8"/>
      <name val="Calibri"/>
      <family val="2"/>
    </font>
    <font>
      <sz val="10"/>
      <color indexed="8"/>
      <name val="Calibri"/>
      <family val="2"/>
      <scheme val="minor"/>
    </font>
    <font>
      <sz val="14"/>
      <color rgb="FFC00000"/>
      <name val="Calibri"/>
      <family val="2"/>
    </font>
    <font>
      <sz val="10"/>
      <color theme="0" tint="-0.499984740745262"/>
      <name val="Calibri"/>
      <family val="2"/>
    </font>
    <font>
      <i/>
      <sz val="10"/>
      <color theme="0" tint="-0.499984740745262"/>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b/>
      <u/>
      <sz val="10"/>
      <color theme="1" tint="0.34998626667073579"/>
      <name val="Calibri"/>
      <family val="2"/>
    </font>
    <font>
      <b/>
      <sz val="10"/>
      <color theme="1" tint="0.499984740745262"/>
      <name val="Calibri"/>
      <family val="2"/>
    </font>
    <font>
      <b/>
      <i/>
      <sz val="10"/>
      <color theme="1" tint="0.499984740745262"/>
      <name val="Calibri"/>
      <family val="2"/>
    </font>
    <font>
      <i/>
      <sz val="10"/>
      <color theme="1" tint="0.499984740745262"/>
      <name val="Calibri"/>
      <family val="2"/>
    </font>
    <font>
      <sz val="10"/>
      <color theme="1" tint="0.499984740745262"/>
      <name val="Calibri"/>
      <family val="2"/>
    </font>
    <font>
      <i/>
      <sz val="14"/>
      <color theme="1" tint="0.34998626667073579"/>
      <name val="Calibri"/>
      <family val="2"/>
    </font>
    <font>
      <sz val="12"/>
      <color theme="1" tint="0.34998626667073579"/>
      <name val="Calibri"/>
      <family val="2"/>
    </font>
    <font>
      <b/>
      <sz val="14"/>
      <color theme="1" tint="0.34998626667073579"/>
      <name val="Calibri"/>
      <family val="2"/>
    </font>
    <font>
      <i/>
      <sz val="11"/>
      <color theme="1" tint="0.34998626667073579"/>
      <name val="Calibri"/>
      <family val="2"/>
    </font>
    <font>
      <sz val="10"/>
      <color theme="1" tint="0.34998626667073579"/>
      <name val="Arial"/>
      <family val="2"/>
    </font>
    <font>
      <i/>
      <sz val="14"/>
      <color theme="0" tint="-0.499984740745262"/>
      <name val="Calibri"/>
      <family val="2"/>
    </font>
    <font>
      <sz val="12"/>
      <color theme="0" tint="-0.499984740745262"/>
      <name val="Calibri"/>
      <family val="2"/>
    </font>
    <font>
      <i/>
      <sz val="14"/>
      <color theme="1" tint="0.499984740745262"/>
      <name val="Calibri"/>
      <family val="2"/>
    </font>
    <font>
      <sz val="12"/>
      <color theme="1" tint="0.499984740745262"/>
      <name val="Calibri"/>
      <family val="2"/>
    </font>
    <font>
      <i/>
      <sz val="12"/>
      <color theme="1" tint="0.499984740745262"/>
      <name val="Calibri"/>
      <family val="2"/>
    </font>
    <font>
      <b/>
      <sz val="12"/>
      <color theme="1" tint="0.499984740745262"/>
      <name val="Calibri"/>
      <family val="2"/>
    </font>
    <font>
      <b/>
      <i/>
      <sz val="12"/>
      <color theme="1" tint="0.499984740745262"/>
      <name val="Calibri"/>
      <family val="2"/>
    </font>
    <font>
      <sz val="14"/>
      <color theme="1" tint="0.499984740745262"/>
      <name val="Calibri"/>
      <family val="2"/>
    </font>
    <font>
      <b/>
      <sz val="10"/>
      <color theme="1" tint="0.34998626667073579"/>
      <name val="Arial"/>
      <family val="2"/>
    </font>
    <font>
      <sz val="10"/>
      <color theme="1" tint="0.499984740745262"/>
      <name val="Arial"/>
      <family val="2"/>
    </font>
    <font>
      <sz val="10"/>
      <name val="Calibri"/>
      <family val="2"/>
      <scheme val="minor"/>
    </font>
    <font>
      <b/>
      <sz val="10"/>
      <color theme="1" tint="0.34998626667073579"/>
      <name val="Calibri"/>
      <family val="2"/>
      <scheme val="minor"/>
    </font>
    <font>
      <b/>
      <sz val="10"/>
      <color indexed="81"/>
      <name val="Tahoma"/>
      <family val="2"/>
    </font>
    <font>
      <sz val="10"/>
      <color rgb="FFFF0000"/>
      <name val="Calibri"/>
      <family val="2"/>
      <scheme val="minor"/>
    </font>
    <font>
      <sz val="10"/>
      <color theme="0" tint="-0.249977111117893"/>
      <name val="Calibri"/>
      <family val="2"/>
    </font>
    <font>
      <b/>
      <sz val="9"/>
      <color indexed="81"/>
      <name val="Tahoma"/>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CC"/>
        <bgColor indexed="64"/>
      </patternFill>
    </fill>
    <fill>
      <patternFill patternType="solid">
        <fgColor theme="4" tint="0.79998168889431442"/>
        <bgColor indexed="64"/>
      </patternFill>
    </fill>
    <fill>
      <patternFill patternType="solid">
        <fgColor indexed="2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indexed="64"/>
      </bottom>
      <diagonal/>
    </border>
  </borders>
  <cellStyleXfs count="6">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1328">
    <xf numFmtId="0" fontId="0" fillId="0" borderId="0" xfId="0"/>
    <xf numFmtId="0" fontId="7" fillId="0" borderId="0" xfId="0" applyFont="1" applyFill="1" applyBorder="1" applyAlignment="1" applyProtection="1">
      <alignment horizontal="left"/>
    </xf>
    <xf numFmtId="0" fontId="6" fillId="0" borderId="0" xfId="0" applyFont="1" applyAlignment="1" applyProtection="1">
      <alignment horizontal="left"/>
    </xf>
    <xf numFmtId="0" fontId="6" fillId="0" borderId="0" xfId="0" applyFont="1" applyFill="1" applyBorder="1" applyAlignment="1" applyProtection="1">
      <alignment horizontal="left"/>
    </xf>
    <xf numFmtId="0"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Alignment="1" applyProtection="1">
      <alignment horizontal="left"/>
    </xf>
    <xf numFmtId="0" fontId="10" fillId="4" borderId="0" xfId="0" applyFont="1" applyFill="1" applyProtection="1"/>
    <xf numFmtId="0" fontId="10" fillId="4" borderId="0" xfId="0" applyFont="1" applyFill="1" applyBorder="1" applyProtection="1"/>
    <xf numFmtId="0" fontId="12" fillId="4" borderId="0" xfId="0" applyFont="1" applyFill="1" applyBorder="1" applyAlignment="1" applyProtection="1">
      <alignment horizontal="center"/>
    </xf>
    <xf numFmtId="0" fontId="21" fillId="4" borderId="0" xfId="0" applyFont="1" applyFill="1" applyBorder="1" applyProtection="1"/>
    <xf numFmtId="0" fontId="11" fillId="4" borderId="0" xfId="0" applyFont="1" applyFill="1" applyBorder="1" applyProtection="1"/>
    <xf numFmtId="0" fontId="25" fillId="4" borderId="0" xfId="0" applyFont="1" applyFill="1" applyBorder="1" applyProtection="1"/>
    <xf numFmtId="0" fontId="25" fillId="4" borderId="0" xfId="0" applyFont="1" applyFill="1" applyProtection="1"/>
    <xf numFmtId="0" fontId="19" fillId="4" borderId="0" xfId="0" applyFont="1" applyFill="1" applyBorder="1" applyProtection="1"/>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19" fillId="4" borderId="0" xfId="0" applyFont="1" applyFill="1" applyBorder="1" applyAlignment="1" applyProtection="1">
      <alignment horizontal="center"/>
    </xf>
    <xf numFmtId="171" fontId="10" fillId="4" borderId="0" xfId="0" applyNumberFormat="1" applyFont="1" applyFill="1" applyBorder="1" applyAlignment="1" applyProtection="1">
      <alignment horizontal="center"/>
    </xf>
    <xf numFmtId="0" fontId="29" fillId="4" borderId="0" xfId="0" applyFont="1" applyFill="1" applyProtection="1"/>
    <xf numFmtId="0" fontId="44" fillId="0" borderId="0" xfId="0" applyFont="1" applyAlignment="1" applyProtection="1">
      <alignment horizontal="left"/>
    </xf>
    <xf numFmtId="0" fontId="44" fillId="0" borderId="0" xfId="0" applyFont="1" applyProtection="1"/>
    <xf numFmtId="0" fontId="45" fillId="0" borderId="0" xfId="0" applyFont="1" applyFill="1" applyBorder="1" applyAlignment="1" applyProtection="1">
      <alignment horizontal="left"/>
    </xf>
    <xf numFmtId="0" fontId="44" fillId="0" borderId="0" xfId="0" applyFont="1" applyFill="1" applyAlignment="1" applyProtection="1">
      <alignment horizontal="left"/>
    </xf>
    <xf numFmtId="0" fontId="44" fillId="0" borderId="0" xfId="0" applyNumberFormat="1" applyFont="1" applyFill="1" applyBorder="1" applyAlignment="1" applyProtection="1">
      <alignment horizontal="left"/>
    </xf>
    <xf numFmtId="3" fontId="44" fillId="0" borderId="0" xfId="0" applyNumberFormat="1" applyFont="1" applyFill="1" applyBorder="1" applyAlignment="1" applyProtection="1">
      <alignment horizontal="left"/>
    </xf>
    <xf numFmtId="0" fontId="45" fillId="0" borderId="0" xfId="0" applyNumberFormat="1" applyFont="1" applyFill="1" applyBorder="1" applyAlignment="1" applyProtection="1">
      <alignment horizontal="left"/>
    </xf>
    <xf numFmtId="0" fontId="45" fillId="0" borderId="0" xfId="0" applyFont="1" applyFill="1" applyAlignment="1" applyProtection="1">
      <alignment horizontal="left"/>
    </xf>
    <xf numFmtId="4" fontId="44" fillId="0" borderId="0" xfId="0" applyNumberFormat="1" applyFont="1" applyFill="1" applyBorder="1" applyAlignment="1" applyProtection="1">
      <alignment horizontal="left"/>
    </xf>
    <xf numFmtId="0" fontId="44" fillId="0" borderId="0" xfId="0" applyNumberFormat="1"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xf>
    <xf numFmtId="4" fontId="44" fillId="0" borderId="0" xfId="0" applyNumberFormat="1" applyFont="1" applyFill="1" applyBorder="1" applyAlignment="1" applyProtection="1">
      <alignment horizontal="left" vertical="top" wrapText="1"/>
    </xf>
    <xf numFmtId="4" fontId="44" fillId="0" borderId="0" xfId="0" applyNumberFormat="1" applyFont="1" applyFill="1" applyBorder="1" applyAlignment="1" applyProtection="1">
      <alignment horizontal="left" vertical="top"/>
    </xf>
    <xf numFmtId="2" fontId="44" fillId="0" borderId="0" xfId="0" applyNumberFormat="1" applyFont="1" applyFill="1" applyBorder="1" applyAlignment="1" applyProtection="1">
      <alignment horizontal="left" vertical="top" wrapText="1"/>
    </xf>
    <xf numFmtId="3" fontId="44" fillId="0" borderId="0" xfId="0" applyNumberFormat="1" applyFont="1" applyFill="1" applyBorder="1" applyAlignment="1" applyProtection="1">
      <alignment horizontal="left" vertical="top" wrapText="1"/>
    </xf>
    <xf numFmtId="10" fontId="44" fillId="0" borderId="0" xfId="0" applyNumberFormat="1" applyFont="1" applyFill="1" applyAlignment="1" applyProtection="1">
      <alignment horizontal="left"/>
    </xf>
    <xf numFmtId="171" fontId="44" fillId="0" borderId="0" xfId="0" applyNumberFormat="1" applyFont="1" applyFill="1" applyAlignment="1" applyProtection="1">
      <alignment horizontal="left"/>
    </xf>
    <xf numFmtId="165" fontId="6" fillId="0" borderId="0" xfId="0" applyNumberFormat="1" applyFont="1" applyFill="1" applyBorder="1" applyAlignment="1" applyProtection="1">
      <alignment horizontal="left"/>
    </xf>
    <xf numFmtId="1" fontId="6" fillId="0" borderId="0" xfId="0" applyNumberFormat="1" applyFont="1" applyFill="1" applyBorder="1" applyAlignment="1" applyProtection="1">
      <alignment horizontal="right"/>
    </xf>
    <xf numFmtId="167" fontId="6" fillId="0" borderId="0" xfId="0" applyNumberFormat="1" applyFont="1" applyFill="1" applyBorder="1" applyAlignment="1" applyProtection="1">
      <alignment horizontal="left"/>
    </xf>
    <xf numFmtId="174" fontId="7" fillId="0" borderId="0" xfId="0" applyNumberFormat="1" applyFont="1" applyFill="1" applyBorder="1" applyAlignment="1" applyProtection="1">
      <alignment horizontal="center"/>
    </xf>
    <xf numFmtId="174" fontId="6" fillId="0" borderId="0" xfId="0" applyNumberFormat="1" applyFont="1" applyFill="1" applyBorder="1" applyAlignment="1" applyProtection="1">
      <alignment horizontal="center"/>
    </xf>
    <xf numFmtId="0" fontId="10" fillId="5" borderId="0" xfId="0" applyFont="1" applyFill="1"/>
    <xf numFmtId="0" fontId="18" fillId="5" borderId="0" xfId="0" applyFont="1" applyFill="1"/>
    <xf numFmtId="0" fontId="22" fillId="5" borderId="0" xfId="0" applyFont="1" applyFill="1"/>
    <xf numFmtId="15" fontId="23" fillId="5" borderId="0" xfId="0" applyNumberFormat="1" applyFont="1" applyFill="1"/>
    <xf numFmtId="0" fontId="11" fillId="5" borderId="0" xfId="0" applyFont="1" applyFill="1"/>
    <xf numFmtId="0" fontId="11" fillId="5" borderId="1" xfId="0" applyFont="1" applyFill="1" applyBorder="1" applyAlignment="1">
      <alignment horizontal="center"/>
    </xf>
    <xf numFmtId="0" fontId="6" fillId="5" borderId="0" xfId="0" applyFont="1" applyFill="1"/>
    <xf numFmtId="0" fontId="12" fillId="5" borderId="0" xfId="0" applyFont="1" applyFill="1"/>
    <xf numFmtId="0" fontId="19" fillId="5" borderId="0" xfId="0" applyFont="1" applyFill="1" applyAlignment="1"/>
    <xf numFmtId="0" fontId="10" fillId="5" borderId="0" xfId="0" applyFont="1" applyFill="1" applyAlignment="1"/>
    <xf numFmtId="0" fontId="11" fillId="5" borderId="0" xfId="0" applyFont="1" applyFill="1" applyAlignment="1"/>
    <xf numFmtId="0" fontId="3" fillId="5" borderId="0" xfId="2" applyFill="1" applyAlignment="1" applyProtection="1"/>
    <xf numFmtId="0" fontId="24" fillId="5" borderId="0" xfId="2" applyFont="1" applyFill="1" applyAlignment="1" applyProtection="1"/>
    <xf numFmtId="0" fontId="10" fillId="5" borderId="2" xfId="0" applyFont="1" applyFill="1" applyBorder="1" applyProtection="1"/>
    <xf numFmtId="0" fontId="10" fillId="5" borderId="3" xfId="0" applyFont="1" applyFill="1" applyBorder="1" applyProtection="1"/>
    <xf numFmtId="0" fontId="19" fillId="5" borderId="3" xfId="0" applyFont="1" applyFill="1" applyBorder="1" applyAlignment="1" applyProtection="1">
      <alignment horizontal="right"/>
    </xf>
    <xf numFmtId="0" fontId="12" fillId="5" borderId="3" xfId="0" applyFont="1" applyFill="1" applyBorder="1" applyAlignment="1" applyProtection="1">
      <alignment horizontal="center"/>
    </xf>
    <xf numFmtId="0" fontId="10" fillId="5" borderId="4" xfId="0" applyFont="1" applyFill="1" applyBorder="1" applyProtection="1"/>
    <xf numFmtId="0" fontId="10" fillId="5" borderId="5" xfId="0" applyFont="1" applyFill="1" applyBorder="1" applyProtection="1"/>
    <xf numFmtId="0" fontId="10" fillId="5" borderId="0" xfId="0" applyFont="1" applyFill="1" applyBorder="1" applyProtection="1"/>
    <xf numFmtId="0" fontId="19" fillId="5" borderId="0" xfId="0" applyFont="1" applyFill="1" applyBorder="1" applyAlignment="1" applyProtection="1">
      <alignment horizontal="right"/>
    </xf>
    <xf numFmtId="0" fontId="12" fillId="5" borderId="0" xfId="0" applyFont="1" applyFill="1" applyBorder="1" applyAlignment="1" applyProtection="1">
      <alignment horizontal="center"/>
    </xf>
    <xf numFmtId="0" fontId="10" fillId="5" borderId="6" xfId="0" applyFont="1" applyFill="1" applyBorder="1" applyProtection="1"/>
    <xf numFmtId="0" fontId="30" fillId="5" borderId="5" xfId="0" applyFont="1" applyFill="1" applyBorder="1" applyProtection="1"/>
    <xf numFmtId="0" fontId="26" fillId="5" borderId="0" xfId="0" applyFont="1" applyFill="1" applyBorder="1" applyProtection="1"/>
    <xf numFmtId="0" fontId="21" fillId="5" borderId="0" xfId="0" applyFont="1" applyFill="1" applyBorder="1" applyProtection="1"/>
    <xf numFmtId="0" fontId="11" fillId="5" borderId="0" xfId="0" applyFont="1" applyFill="1" applyBorder="1" applyProtection="1"/>
    <xf numFmtId="0" fontId="31" fillId="5" borderId="0" xfId="0" applyFont="1" applyFill="1" applyBorder="1" applyAlignment="1" applyProtection="1">
      <alignment horizontal="left"/>
    </xf>
    <xf numFmtId="0" fontId="32" fillId="5" borderId="0" xfId="0" applyFont="1" applyFill="1" applyBorder="1" applyProtection="1"/>
    <xf numFmtId="0" fontId="25" fillId="5" borderId="5" xfId="0" applyFont="1" applyFill="1" applyBorder="1" applyProtection="1"/>
    <xf numFmtId="0" fontId="25" fillId="5" borderId="0" xfId="0" applyFont="1" applyFill="1" applyBorder="1" applyProtection="1"/>
    <xf numFmtId="0" fontId="33" fillId="5" borderId="0" xfId="0" applyFont="1" applyFill="1" applyBorder="1" applyAlignment="1" applyProtection="1">
      <alignment horizontal="right"/>
    </xf>
    <xf numFmtId="0" fontId="34" fillId="5" borderId="0" xfId="0" applyFont="1" applyFill="1" applyBorder="1" applyAlignment="1" applyProtection="1">
      <alignment horizontal="center"/>
    </xf>
    <xf numFmtId="0" fontId="25" fillId="5" borderId="6" xfId="0" applyFont="1" applyFill="1" applyBorder="1" applyProtection="1"/>
    <xf numFmtId="0" fontId="19" fillId="5" borderId="0" xfId="0" applyFont="1" applyFill="1" applyBorder="1" applyProtection="1"/>
    <xf numFmtId="0" fontId="10" fillId="5" borderId="0" xfId="0" applyFont="1" applyFill="1" applyBorder="1" applyAlignment="1" applyProtection="1">
      <alignment horizontal="left"/>
    </xf>
    <xf numFmtId="0" fontId="10" fillId="5" borderId="0" xfId="0"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0" fontId="10" fillId="5" borderId="8" xfId="0" applyFont="1" applyFill="1" applyBorder="1" applyAlignment="1" applyProtection="1">
      <alignment horizontal="left"/>
    </xf>
    <xf numFmtId="0" fontId="43" fillId="5" borderId="8" xfId="0" applyFont="1" applyFill="1" applyBorder="1" applyAlignment="1" applyProtection="1">
      <alignment horizontal="right"/>
    </xf>
    <xf numFmtId="0" fontId="10" fillId="5" borderId="9" xfId="0" applyFont="1" applyFill="1" applyBorder="1" applyProtection="1"/>
    <xf numFmtId="0" fontId="10" fillId="5" borderId="3" xfId="0" applyFont="1" applyFill="1" applyBorder="1" applyAlignment="1" applyProtection="1">
      <alignment horizontal="left"/>
    </xf>
    <xf numFmtId="0" fontId="10" fillId="5" borderId="3" xfId="0" applyFont="1" applyFill="1" applyBorder="1" applyAlignment="1" applyProtection="1">
      <alignment horizontal="center"/>
    </xf>
    <xf numFmtId="0" fontId="35" fillId="5" borderId="0" xfId="0" applyFont="1" applyFill="1" applyBorder="1" applyAlignment="1" applyProtection="1">
      <alignment horizontal="center"/>
    </xf>
    <xf numFmtId="0" fontId="35" fillId="5" borderId="6" xfId="0" applyFont="1" applyFill="1" applyBorder="1" applyProtection="1"/>
    <xf numFmtId="0" fontId="11" fillId="5" borderId="5" xfId="0" applyFont="1" applyFill="1" applyBorder="1" applyProtection="1"/>
    <xf numFmtId="0" fontId="19" fillId="5" borderId="0" xfId="0" applyFont="1" applyFill="1" applyBorder="1" applyAlignment="1" applyProtection="1">
      <alignment horizontal="left"/>
    </xf>
    <xf numFmtId="0" fontId="46" fillId="4" borderId="10" xfId="0" applyFont="1" applyFill="1" applyBorder="1" applyProtection="1"/>
    <xf numFmtId="0" fontId="46" fillId="4" borderId="11" xfId="0" applyFont="1" applyFill="1" applyBorder="1" applyProtection="1"/>
    <xf numFmtId="0" fontId="47" fillId="4" borderId="11" xfId="0" applyFont="1" applyFill="1" applyBorder="1" applyAlignment="1" applyProtection="1">
      <alignment horizontal="center"/>
    </xf>
    <xf numFmtId="0" fontId="46" fillId="4" borderId="13" xfId="0" applyFont="1" applyFill="1" applyBorder="1" applyProtection="1"/>
    <xf numFmtId="0" fontId="46" fillId="4" borderId="14" xfId="0" applyFont="1" applyFill="1" applyBorder="1" applyAlignment="1" applyProtection="1">
      <alignment horizontal="left"/>
    </xf>
    <xf numFmtId="0" fontId="46" fillId="4" borderId="14" xfId="0" applyFont="1" applyFill="1" applyBorder="1" applyProtection="1"/>
    <xf numFmtId="0" fontId="46" fillId="4" borderId="14" xfId="0" applyFont="1" applyFill="1" applyBorder="1" applyAlignment="1" applyProtection="1">
      <alignment horizontal="left"/>
      <protection locked="0"/>
    </xf>
    <xf numFmtId="0" fontId="47" fillId="4" borderId="14" xfId="0" applyFont="1" applyFill="1" applyBorder="1" applyAlignment="1" applyProtection="1">
      <alignment horizontal="center"/>
    </xf>
    <xf numFmtId="0" fontId="48" fillId="4" borderId="14" xfId="0" applyFont="1" applyFill="1" applyBorder="1" applyProtection="1"/>
    <xf numFmtId="0" fontId="48" fillId="4" borderId="13" xfId="0" applyFont="1" applyFill="1" applyBorder="1" applyProtection="1"/>
    <xf numFmtId="0" fontId="47" fillId="4" borderId="14" xfId="0" applyFont="1" applyFill="1" applyBorder="1" applyProtection="1"/>
    <xf numFmtId="0" fontId="48" fillId="4" borderId="16" xfId="0" applyFont="1" applyFill="1" applyBorder="1" applyProtection="1"/>
    <xf numFmtId="0" fontId="46" fillId="4" borderId="17" xfId="0" applyFont="1" applyFill="1" applyBorder="1" applyProtection="1"/>
    <xf numFmtId="0" fontId="46" fillId="4" borderId="17" xfId="0" applyFont="1" applyFill="1" applyBorder="1" applyAlignment="1" applyProtection="1">
      <alignment horizontal="center"/>
    </xf>
    <xf numFmtId="0" fontId="10" fillId="5" borderId="14" xfId="0" applyFont="1" applyFill="1" applyBorder="1" applyAlignment="1" applyProtection="1">
      <alignment horizontal="center"/>
      <protection locked="0"/>
    </xf>
    <xf numFmtId="0" fontId="11" fillId="4" borderId="10" xfId="0" applyFont="1" applyFill="1" applyBorder="1" applyProtection="1"/>
    <xf numFmtId="0" fontId="11" fillId="4" borderId="11" xfId="0" applyFont="1" applyFill="1" applyBorder="1" applyProtection="1"/>
    <xf numFmtId="0" fontId="10" fillId="4" borderId="11" xfId="0" applyFont="1" applyFill="1" applyBorder="1" applyProtection="1"/>
    <xf numFmtId="0" fontId="10" fillId="4" borderId="12" xfId="0" applyFont="1" applyFill="1" applyBorder="1" applyProtection="1"/>
    <xf numFmtId="0" fontId="11" fillId="4" borderId="13" xfId="0" applyFont="1" applyFill="1" applyBorder="1" applyProtection="1"/>
    <xf numFmtId="0" fontId="19" fillId="4" borderId="14" xfId="0" applyFont="1" applyFill="1" applyBorder="1" applyProtection="1"/>
    <xf numFmtId="0" fontId="10" fillId="4" borderId="14" xfId="0" applyFont="1" applyFill="1" applyBorder="1" applyProtection="1"/>
    <xf numFmtId="0" fontId="10" fillId="4" borderId="15" xfId="0" applyFont="1" applyFill="1" applyBorder="1" applyProtection="1"/>
    <xf numFmtId="0" fontId="10" fillId="4" borderId="13" xfId="0" applyFont="1" applyFill="1" applyBorder="1" applyProtection="1"/>
    <xf numFmtId="0" fontId="10" fillId="4" borderId="14" xfId="0" applyFont="1" applyFill="1" applyBorder="1" applyAlignment="1" applyProtection="1">
      <alignment horizontal="left"/>
    </xf>
    <xf numFmtId="0" fontId="10" fillId="4" borderId="14" xfId="0" applyFont="1" applyFill="1" applyBorder="1" applyAlignment="1" applyProtection="1">
      <alignment horizontal="center"/>
    </xf>
    <xf numFmtId="0" fontId="10" fillId="4" borderId="15" xfId="0" applyFont="1" applyFill="1" applyBorder="1" applyAlignment="1" applyProtection="1">
      <alignment horizontal="center"/>
    </xf>
    <xf numFmtId="0" fontId="11" fillId="4" borderId="14" xfId="0" applyFont="1" applyFill="1" applyBorder="1" applyProtection="1"/>
    <xf numFmtId="0" fontId="10" fillId="4" borderId="14" xfId="0" applyFont="1" applyFill="1" applyBorder="1" applyAlignment="1" applyProtection="1">
      <alignment horizontal="center"/>
      <protection locked="0"/>
    </xf>
    <xf numFmtId="0" fontId="11" fillId="4" borderId="17" xfId="0" applyFont="1" applyFill="1" applyBorder="1" applyProtection="1"/>
    <xf numFmtId="0" fontId="10" fillId="4" borderId="17" xfId="0" applyFont="1" applyFill="1" applyBorder="1" applyProtection="1"/>
    <xf numFmtId="0" fontId="6" fillId="4" borderId="13" xfId="0" applyFont="1" applyFill="1" applyBorder="1" applyProtection="1"/>
    <xf numFmtId="0" fontId="6" fillId="4" borderId="14" xfId="0" applyFont="1" applyFill="1" applyBorder="1" applyProtection="1"/>
    <xf numFmtId="0" fontId="12" fillId="4" borderId="14" xfId="0" applyFont="1" applyFill="1" applyBorder="1" applyAlignment="1" applyProtection="1">
      <alignment horizontal="center"/>
    </xf>
    <xf numFmtId="0" fontId="49" fillId="4" borderId="13" xfId="0" applyFont="1" applyFill="1" applyBorder="1" applyProtection="1"/>
    <xf numFmtId="0" fontId="49" fillId="4" borderId="14" xfId="0" applyFont="1" applyFill="1" applyBorder="1" applyProtection="1"/>
    <xf numFmtId="0" fontId="46" fillId="4" borderId="16" xfId="0" applyFont="1" applyFill="1" applyBorder="1" applyProtection="1"/>
    <xf numFmtId="0" fontId="47" fillId="4" borderId="17" xfId="0" applyFont="1" applyFill="1" applyBorder="1" applyAlignment="1" applyProtection="1">
      <alignment horizontal="center"/>
    </xf>
    <xf numFmtId="0" fontId="49" fillId="4" borderId="0" xfId="0" applyFont="1" applyFill="1" applyBorder="1" applyProtection="1"/>
    <xf numFmtId="0" fontId="49" fillId="5" borderId="0" xfId="0" applyFont="1" applyFill="1" applyBorder="1" applyProtection="1"/>
    <xf numFmtId="0" fontId="50" fillId="5" borderId="0" xfId="0" applyFont="1" applyFill="1" applyBorder="1" applyAlignment="1" applyProtection="1">
      <alignment horizontal="center"/>
    </xf>
    <xf numFmtId="0" fontId="50" fillId="4" borderId="14" xfId="0" applyFont="1" applyFill="1" applyBorder="1" applyAlignment="1" applyProtection="1">
      <alignment horizontal="left"/>
    </xf>
    <xf numFmtId="0" fontId="52" fillId="4" borderId="14" xfId="0" applyFont="1" applyFill="1" applyBorder="1" applyProtection="1"/>
    <xf numFmtId="0" fontId="49" fillId="5" borderId="5" xfId="0" applyFont="1" applyFill="1" applyBorder="1" applyProtection="1"/>
    <xf numFmtId="0" fontId="49" fillId="5" borderId="6" xfId="0" applyFont="1" applyFill="1" applyBorder="1" applyProtection="1"/>
    <xf numFmtId="0" fontId="49" fillId="4" borderId="0" xfId="0" applyFont="1" applyFill="1" applyProtection="1"/>
    <xf numFmtId="0" fontId="46" fillId="4" borderId="17" xfId="0" applyFont="1" applyFill="1" applyBorder="1" applyAlignment="1" applyProtection="1">
      <alignment horizontal="left"/>
    </xf>
    <xf numFmtId="0" fontId="48" fillId="4" borderId="10" xfId="0" applyFont="1" applyFill="1" applyBorder="1" applyProtection="1"/>
    <xf numFmtId="0" fontId="53" fillId="5" borderId="0" xfId="0" applyFont="1" applyFill="1" applyBorder="1" applyProtection="1"/>
    <xf numFmtId="0" fontId="48" fillId="5" borderId="0" xfId="0" quotePrefix="1" applyFont="1" applyFill="1" applyBorder="1" applyAlignment="1" applyProtection="1">
      <alignment horizontal="left"/>
    </xf>
    <xf numFmtId="1" fontId="48" fillId="5" borderId="0" xfId="0" applyNumberFormat="1" applyFont="1" applyFill="1" applyBorder="1" applyAlignment="1" applyProtection="1">
      <alignment horizontal="center"/>
    </xf>
    <xf numFmtId="0" fontId="46" fillId="5" borderId="0" xfId="0" applyFont="1" applyFill="1" applyBorder="1" applyProtection="1"/>
    <xf numFmtId="0" fontId="46" fillId="5" borderId="0" xfId="0" applyFont="1" applyFill="1" applyBorder="1" applyAlignment="1" applyProtection="1">
      <alignment horizontal="left"/>
    </xf>
    <xf numFmtId="0" fontId="48" fillId="5" borderId="0" xfId="0" applyFont="1" applyFill="1" applyBorder="1" applyProtection="1"/>
    <xf numFmtId="0" fontId="46" fillId="5" borderId="14" xfId="0" applyFont="1" applyFill="1" applyBorder="1" applyAlignment="1" applyProtection="1">
      <alignment horizontal="center"/>
      <protection locked="0"/>
    </xf>
    <xf numFmtId="0" fontId="12" fillId="4" borderId="14" xfId="0" applyFont="1" applyFill="1" applyBorder="1" applyProtection="1"/>
    <xf numFmtId="0" fontId="54" fillId="4" borderId="16" xfId="0" applyFont="1" applyFill="1" applyBorder="1" applyProtection="1"/>
    <xf numFmtId="0" fontId="55" fillId="4" borderId="0" xfId="0" applyFont="1" applyFill="1" applyBorder="1" applyAlignment="1" applyProtection="1">
      <alignment horizontal="left"/>
    </xf>
    <xf numFmtId="0" fontId="55" fillId="4" borderId="0" xfId="0" applyFont="1" applyFill="1" applyBorder="1" applyProtection="1"/>
    <xf numFmtId="0" fontId="55" fillId="4" borderId="0" xfId="0" applyFont="1" applyFill="1" applyBorder="1" applyAlignment="1" applyProtection="1">
      <alignment horizontal="center"/>
    </xf>
    <xf numFmtId="0" fontId="8" fillId="4" borderId="0" xfId="0" applyFont="1" applyFill="1" applyBorder="1" applyProtection="1"/>
    <xf numFmtId="0" fontId="11" fillId="4" borderId="0" xfId="0" applyFont="1" applyFill="1" applyProtection="1"/>
    <xf numFmtId="164" fontId="10" fillId="4" borderId="0" xfId="0" applyNumberFormat="1" applyFont="1" applyFill="1" applyBorder="1" applyProtection="1"/>
    <xf numFmtId="164" fontId="10" fillId="4" borderId="0" xfId="0" applyNumberFormat="1" applyFont="1" applyFill="1" applyBorder="1" applyAlignment="1" applyProtection="1">
      <alignment horizontal="center"/>
    </xf>
    <xf numFmtId="0" fontId="11" fillId="5" borderId="3" xfId="0" applyFont="1" applyFill="1" applyBorder="1" applyProtection="1"/>
    <xf numFmtId="0" fontId="36" fillId="5" borderId="0" xfId="0" applyFont="1" applyFill="1" applyBorder="1" applyProtection="1"/>
    <xf numFmtId="0" fontId="25" fillId="5" borderId="0" xfId="0" applyFont="1" applyFill="1" applyBorder="1" applyAlignment="1" applyProtection="1">
      <alignment horizontal="center"/>
    </xf>
    <xf numFmtId="0" fontId="17" fillId="5" borderId="0" xfId="0" applyFont="1" applyFill="1" applyBorder="1" applyProtection="1"/>
    <xf numFmtId="0" fontId="36" fillId="5" borderId="0" xfId="0" applyFont="1" applyFill="1" applyBorder="1" applyAlignment="1" applyProtection="1">
      <alignment horizontal="left"/>
    </xf>
    <xf numFmtId="0" fontId="11" fillId="5" borderId="8" xfId="0" applyFont="1" applyFill="1" applyBorder="1" applyProtection="1"/>
    <xf numFmtId="0" fontId="10" fillId="5" borderId="8" xfId="0" applyFont="1" applyFill="1" applyBorder="1" applyAlignment="1" applyProtection="1">
      <alignment horizontal="center"/>
    </xf>
    <xf numFmtId="0" fontId="44" fillId="5" borderId="0" xfId="0" applyFont="1" applyFill="1" applyBorder="1" applyProtection="1"/>
    <xf numFmtId="0" fontId="10" fillId="4" borderId="10" xfId="0" applyFont="1" applyFill="1" applyBorder="1" applyProtection="1"/>
    <xf numFmtId="0" fontId="10" fillId="4" borderId="11" xfId="0" applyFont="1" applyFill="1" applyBorder="1" applyAlignment="1" applyProtection="1">
      <alignment horizontal="center"/>
    </xf>
    <xf numFmtId="0" fontId="51" fillId="4" borderId="14" xfId="0" applyFont="1" applyFill="1" applyBorder="1" applyAlignment="1" applyProtection="1">
      <alignment horizontal="left"/>
    </xf>
    <xf numFmtId="0" fontId="11" fillId="4" borderId="14" xfId="0" applyFont="1" applyFill="1" applyBorder="1" applyAlignment="1" applyProtection="1"/>
    <xf numFmtId="164" fontId="11" fillId="4" borderId="14" xfId="0" applyNumberFormat="1" applyFont="1" applyFill="1" applyBorder="1" applyProtection="1"/>
    <xf numFmtId="0" fontId="19" fillId="4" borderId="14" xfId="0" applyFont="1" applyFill="1" applyBorder="1" applyAlignment="1" applyProtection="1">
      <alignment horizontal="center"/>
    </xf>
    <xf numFmtId="0" fontId="10" fillId="4" borderId="16" xfId="0" applyFont="1" applyFill="1" applyBorder="1" applyProtection="1"/>
    <xf numFmtId="0" fontId="10" fillId="4" borderId="17" xfId="0" applyFont="1" applyFill="1" applyBorder="1" applyAlignment="1" applyProtection="1">
      <alignment horizontal="center"/>
    </xf>
    <xf numFmtId="0" fontId="57" fillId="4" borderId="0" xfId="0" applyFont="1" applyFill="1" applyBorder="1" applyProtection="1"/>
    <xf numFmtId="0" fontId="58" fillId="4" borderId="0" xfId="0" applyFont="1" applyFill="1" applyBorder="1" applyAlignment="1" applyProtection="1">
      <alignment horizontal="center"/>
    </xf>
    <xf numFmtId="0" fontId="12" fillId="4" borderId="0" xfId="0" applyFont="1" applyFill="1" applyProtection="1"/>
    <xf numFmtId="0" fontId="12" fillId="4" borderId="0" xfId="0" applyFont="1" applyFill="1" applyBorder="1" applyProtection="1"/>
    <xf numFmtId="0" fontId="19" fillId="4" borderId="0" xfId="0" applyFont="1" applyFill="1" applyProtection="1"/>
    <xf numFmtId="0" fontId="11" fillId="4" borderId="0" xfId="0" quotePrefix="1" applyFont="1" applyFill="1" applyBorder="1" applyAlignment="1" applyProtection="1">
      <alignment horizontal="right"/>
    </xf>
    <xf numFmtId="0" fontId="12" fillId="4" borderId="0" xfId="0" applyNumberFormat="1" applyFont="1" applyFill="1" applyBorder="1" applyAlignment="1" applyProtection="1">
      <alignment horizontal="left"/>
    </xf>
    <xf numFmtId="164"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left"/>
    </xf>
    <xf numFmtId="0" fontId="29" fillId="4" borderId="0" xfId="0" applyFont="1" applyFill="1" applyBorder="1" applyProtection="1"/>
    <xf numFmtId="0" fontId="50" fillId="4" borderId="0" xfId="0" applyFont="1" applyFill="1" applyProtection="1"/>
    <xf numFmtId="0" fontId="44" fillId="4" borderId="0" xfId="0" applyFont="1" applyFill="1" applyBorder="1" applyProtection="1"/>
    <xf numFmtId="0" fontId="21" fillId="5" borderId="5" xfId="0" applyFont="1" applyFill="1" applyBorder="1" applyProtection="1"/>
    <xf numFmtId="0" fontId="12" fillId="5" borderId="5" xfId="0" applyFont="1" applyFill="1" applyBorder="1" applyProtection="1"/>
    <xf numFmtId="0" fontId="12" fillId="5" borderId="6" xfId="0" applyFont="1" applyFill="1" applyBorder="1" applyProtection="1"/>
    <xf numFmtId="0" fontId="50" fillId="5" borderId="5" xfId="0" applyFont="1" applyFill="1" applyBorder="1" applyProtection="1"/>
    <xf numFmtId="0" fontId="50" fillId="5" borderId="6" xfId="0" applyFont="1" applyFill="1" applyBorder="1" applyProtection="1"/>
    <xf numFmtId="0" fontId="11" fillId="5" borderId="6" xfId="0" applyFont="1" applyFill="1" applyBorder="1" applyProtection="1"/>
    <xf numFmtId="0" fontId="12" fillId="5" borderId="0" xfId="0" applyFont="1" applyFill="1" applyBorder="1" applyProtection="1"/>
    <xf numFmtId="1" fontId="11"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left"/>
    </xf>
    <xf numFmtId="0" fontId="12" fillId="5" borderId="8" xfId="0" applyNumberFormat="1" applyFont="1" applyFill="1" applyBorder="1" applyAlignment="1" applyProtection="1">
      <alignment horizontal="left"/>
    </xf>
    <xf numFmtId="164" fontId="12" fillId="5" borderId="8" xfId="0" applyNumberFormat="1" applyFont="1" applyFill="1" applyBorder="1" applyAlignment="1" applyProtection="1">
      <alignment horizontal="left"/>
    </xf>
    <xf numFmtId="0" fontId="10" fillId="5" borderId="0" xfId="0" applyNumberFormat="1" applyFont="1" applyFill="1" applyBorder="1" applyProtection="1"/>
    <xf numFmtId="0" fontId="12" fillId="5" borderId="0" xfId="0" applyFont="1" applyFill="1" applyBorder="1" applyAlignment="1" applyProtection="1">
      <alignment horizontal="left"/>
    </xf>
    <xf numFmtId="0" fontId="12" fillId="5" borderId="0" xfId="0" applyFont="1" applyFill="1" applyBorder="1" applyAlignment="1" applyProtection="1">
      <alignment horizontal="right"/>
    </xf>
    <xf numFmtId="0" fontId="11" fillId="5" borderId="0" xfId="0" applyFont="1" applyFill="1" applyBorder="1" applyAlignment="1" applyProtection="1">
      <alignment horizontal="left"/>
    </xf>
    <xf numFmtId="164" fontId="10" fillId="5" borderId="0" xfId="0" applyNumberFormat="1" applyFont="1" applyFill="1" applyBorder="1" applyAlignment="1" applyProtection="1">
      <alignment horizontal="center"/>
    </xf>
    <xf numFmtId="2" fontId="10" fillId="5" borderId="14" xfId="0" applyNumberFormat="1" applyFont="1" applyFill="1" applyBorder="1" applyAlignment="1" applyProtection="1">
      <alignment horizontal="center"/>
      <protection locked="0"/>
    </xf>
    <xf numFmtId="9" fontId="10" fillId="5" borderId="14" xfId="3" applyFont="1" applyFill="1" applyBorder="1" applyAlignment="1" applyProtection="1">
      <alignment horizontal="center"/>
      <protection locked="0"/>
    </xf>
    <xf numFmtId="164" fontId="10" fillId="5" borderId="14" xfId="0" applyNumberFormat="1" applyFont="1" applyFill="1" applyBorder="1" applyAlignment="1" applyProtection="1">
      <alignment horizontal="left"/>
      <protection locked="0"/>
    </xf>
    <xf numFmtId="0" fontId="10" fillId="5" borderId="14" xfId="0" applyFont="1" applyFill="1" applyBorder="1" applyProtection="1">
      <protection locked="0"/>
    </xf>
    <xf numFmtId="164" fontId="10" fillId="5"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left"/>
    </xf>
    <xf numFmtId="0" fontId="12" fillId="4" borderId="13" xfId="0" applyFont="1" applyFill="1" applyBorder="1" applyProtection="1"/>
    <xf numFmtId="0" fontId="37" fillId="4" borderId="14" xfId="0" applyFont="1" applyFill="1" applyBorder="1" applyAlignment="1" applyProtection="1">
      <alignment horizontal="left"/>
    </xf>
    <xf numFmtId="0" fontId="12" fillId="4" borderId="14" xfId="0" applyFont="1" applyFill="1" applyBorder="1" applyAlignment="1" applyProtection="1">
      <alignment horizontal="left"/>
    </xf>
    <xf numFmtId="0" fontId="12" fillId="4" borderId="14" xfId="0" applyFont="1" applyFill="1" applyBorder="1" applyAlignment="1" applyProtection="1">
      <alignment horizontal="right"/>
    </xf>
    <xf numFmtId="0" fontId="12" fillId="4" borderId="13" xfId="0" applyFont="1" applyFill="1" applyBorder="1" applyAlignment="1" applyProtection="1">
      <alignment horizontal="center"/>
    </xf>
    <xf numFmtId="0" fontId="19" fillId="4" borderId="14" xfId="0" applyFont="1" applyFill="1" applyBorder="1" applyAlignment="1" applyProtection="1">
      <alignment horizontal="left"/>
    </xf>
    <xf numFmtId="0" fontId="10" fillId="4" borderId="14" xfId="0" quotePrefix="1" applyFont="1" applyFill="1" applyBorder="1" applyAlignment="1" applyProtection="1">
      <alignment horizontal="left"/>
    </xf>
    <xf numFmtId="0" fontId="11" fillId="4" borderId="14" xfId="0" applyFont="1" applyFill="1" applyBorder="1" applyAlignment="1" applyProtection="1">
      <alignment horizontal="left"/>
    </xf>
    <xf numFmtId="0" fontId="50" fillId="4" borderId="13" xfId="0" applyFont="1" applyFill="1" applyBorder="1" applyProtection="1"/>
    <xf numFmtId="0" fontId="52" fillId="4" borderId="14" xfId="0" applyFont="1" applyFill="1" applyBorder="1" applyAlignment="1" applyProtection="1">
      <alignment horizontal="left"/>
    </xf>
    <xf numFmtId="0" fontId="49" fillId="4" borderId="14" xfId="0" applyFont="1" applyFill="1" applyBorder="1" applyAlignment="1" applyProtection="1">
      <alignment horizontal="left"/>
    </xf>
    <xf numFmtId="171" fontId="49" fillId="4" borderId="14" xfId="0" applyNumberFormat="1" applyFont="1" applyFill="1" applyBorder="1" applyAlignment="1" applyProtection="1">
      <alignment horizontal="left"/>
    </xf>
    <xf numFmtId="177" fontId="49" fillId="4" borderId="14" xfId="0" applyNumberFormat="1" applyFont="1" applyFill="1" applyBorder="1" applyAlignment="1" applyProtection="1">
      <alignment horizontal="left"/>
    </xf>
    <xf numFmtId="164" fontId="50" fillId="4" borderId="14" xfId="0" applyNumberFormat="1" applyFont="1" applyFill="1" applyBorder="1" applyAlignment="1" applyProtection="1">
      <alignment horizontal="left"/>
    </xf>
    <xf numFmtId="174" fontId="10" fillId="4" borderId="14" xfId="0" applyNumberFormat="1" applyFont="1" applyFill="1" applyBorder="1" applyAlignment="1" applyProtection="1">
      <alignment horizontal="center"/>
    </xf>
    <xf numFmtId="0" fontId="12" fillId="4" borderId="14" xfId="0" quotePrefix="1" applyFont="1" applyFill="1" applyBorder="1" applyAlignment="1" applyProtection="1">
      <alignment horizontal="left"/>
    </xf>
    <xf numFmtId="174" fontId="12" fillId="4" borderId="14" xfId="0" applyNumberFormat="1" applyFont="1" applyFill="1" applyBorder="1" applyAlignment="1" applyProtection="1">
      <alignment horizontal="center"/>
    </xf>
    <xf numFmtId="0" fontId="49" fillId="4" borderId="14" xfId="0" quotePrefix="1" applyFont="1" applyFill="1" applyBorder="1" applyAlignment="1" applyProtection="1">
      <alignment horizontal="left"/>
    </xf>
    <xf numFmtId="174" fontId="49" fillId="4" borderId="14" xfId="0" applyNumberFormat="1" applyFont="1" applyFill="1" applyBorder="1" applyAlignment="1" applyProtection="1">
      <alignment horizontal="center"/>
    </xf>
    <xf numFmtId="164" fontId="49" fillId="4" borderId="14" xfId="0" applyNumberFormat="1" applyFont="1" applyFill="1" applyBorder="1" applyAlignment="1" applyProtection="1">
      <alignment horizontal="left"/>
    </xf>
    <xf numFmtId="0" fontId="10" fillId="4" borderId="14" xfId="0" quotePrefix="1" applyFont="1" applyFill="1" applyBorder="1" applyProtection="1"/>
    <xf numFmtId="10" fontId="10" fillId="4" borderId="14" xfId="0" applyNumberFormat="1" applyFont="1" applyFill="1" applyBorder="1" applyAlignment="1" applyProtection="1">
      <alignment horizontal="center"/>
    </xf>
    <xf numFmtId="10" fontId="12" fillId="4" borderId="14" xfId="0" applyNumberFormat="1" applyFont="1" applyFill="1" applyBorder="1" applyAlignment="1" applyProtection="1">
      <alignment horizontal="center"/>
    </xf>
    <xf numFmtId="0" fontId="12" fillId="4" borderId="14" xfId="0" quotePrefix="1" applyFont="1" applyFill="1" applyBorder="1" applyProtection="1"/>
    <xf numFmtId="171" fontId="10" fillId="4" borderId="14" xfId="0" applyNumberFormat="1" applyFont="1" applyFill="1" applyBorder="1" applyAlignment="1" applyProtection="1">
      <alignment horizontal="left"/>
    </xf>
    <xf numFmtId="164" fontId="10" fillId="4"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center"/>
    </xf>
    <xf numFmtId="0" fontId="19" fillId="4" borderId="13" xfId="0" applyFont="1" applyFill="1" applyBorder="1" applyProtection="1"/>
    <xf numFmtId="0" fontId="19" fillId="4" borderId="16" xfId="0" applyFont="1" applyFill="1" applyBorder="1" applyProtection="1"/>
    <xf numFmtId="0" fontId="11" fillId="4" borderId="17" xfId="0" applyFont="1" applyFill="1" applyBorder="1" applyAlignment="1" applyProtection="1">
      <alignment horizontal="left"/>
    </xf>
    <xf numFmtId="168" fontId="11" fillId="4" borderId="17" xfId="0" applyNumberFormat="1" applyFont="1" applyFill="1" applyBorder="1" applyAlignment="1" applyProtection="1">
      <alignment horizontal="center"/>
    </xf>
    <xf numFmtId="0" fontId="49" fillId="4" borderId="0" xfId="0" applyFont="1" applyFill="1" applyBorder="1" applyAlignment="1" applyProtection="1">
      <alignment horizontal="center"/>
    </xf>
    <xf numFmtId="167" fontId="10" fillId="4" borderId="0" xfId="0" applyNumberFormat="1" applyFont="1" applyFill="1" applyBorder="1" applyProtection="1"/>
    <xf numFmtId="0" fontId="11" fillId="4" borderId="0" xfId="0" applyFont="1" applyFill="1" applyBorder="1" applyAlignment="1" applyProtection="1">
      <alignment horizontal="left"/>
    </xf>
    <xf numFmtId="0" fontId="49" fillId="4" borderId="14" xfId="0" applyFont="1" applyFill="1" applyBorder="1" applyAlignment="1" applyProtection="1">
      <alignment horizontal="center"/>
    </xf>
    <xf numFmtId="171" fontId="12" fillId="4" borderId="14" xfId="0" applyNumberFormat="1" applyFont="1" applyFill="1" applyBorder="1" applyAlignment="1" applyProtection="1">
      <alignment horizontal="center"/>
    </xf>
    <xf numFmtId="0" fontId="52" fillId="4" borderId="14" xfId="0" applyNumberFormat="1" applyFont="1" applyFill="1" applyBorder="1" applyProtection="1"/>
    <xf numFmtId="164" fontId="49" fillId="4" borderId="14" xfId="0" applyNumberFormat="1" applyFont="1" applyFill="1" applyBorder="1" applyAlignment="1" applyProtection="1">
      <alignment horizontal="center"/>
    </xf>
    <xf numFmtId="171" fontId="49"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left" indent="1"/>
    </xf>
    <xf numFmtId="0" fontId="11"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10" fillId="4" borderId="14" xfId="0" applyNumberFormat="1" applyFont="1" applyFill="1" applyBorder="1" applyAlignment="1" applyProtection="1">
      <alignment horizontal="left" indent="1"/>
    </xf>
    <xf numFmtId="0" fontId="51" fillId="4" borderId="13" xfId="0" applyFont="1" applyFill="1" applyBorder="1" applyProtection="1"/>
    <xf numFmtId="49" fontId="52" fillId="4" borderId="14" xfId="0" applyNumberFormat="1" applyFont="1" applyFill="1" applyBorder="1" applyAlignment="1" applyProtection="1">
      <alignment horizontal="center"/>
    </xf>
    <xf numFmtId="0" fontId="10" fillId="4" borderId="17" xfId="0" applyFont="1" applyFill="1" applyBorder="1" applyAlignment="1" applyProtection="1">
      <alignment horizontal="left"/>
    </xf>
    <xf numFmtId="49" fontId="10" fillId="5" borderId="14" xfId="0" applyNumberFormat="1" applyFont="1" applyFill="1" applyBorder="1" applyAlignment="1" applyProtection="1">
      <alignment horizontal="center"/>
      <protection locked="0"/>
    </xf>
    <xf numFmtId="0" fontId="12" fillId="4" borderId="16" xfId="0" applyFont="1" applyFill="1" applyBorder="1" applyProtection="1"/>
    <xf numFmtId="0" fontId="19" fillId="4" borderId="17" xfId="0" applyFont="1" applyFill="1" applyBorder="1" applyProtection="1"/>
    <xf numFmtId="0" fontId="19" fillId="4" borderId="17" xfId="0" applyFont="1" applyFill="1" applyBorder="1" applyAlignment="1" applyProtection="1">
      <alignment horizontal="left"/>
    </xf>
    <xf numFmtId="0" fontId="12" fillId="4" borderId="10" xfId="0" applyFont="1" applyFill="1" applyBorder="1" applyProtection="1"/>
    <xf numFmtId="0" fontId="19" fillId="4" borderId="11" xfId="0" applyFont="1" applyFill="1" applyBorder="1" applyProtection="1"/>
    <xf numFmtId="0" fontId="19" fillId="4" borderId="11" xfId="0" applyFont="1" applyFill="1" applyBorder="1" applyAlignment="1" applyProtection="1">
      <alignment horizontal="left"/>
    </xf>
    <xf numFmtId="1" fontId="11" fillId="4" borderId="17" xfId="0" applyNumberFormat="1" applyFont="1" applyFill="1" applyBorder="1" applyAlignment="1" applyProtection="1">
      <alignment horizontal="left"/>
    </xf>
    <xf numFmtId="164" fontId="19" fillId="4" borderId="17" xfId="0" applyNumberFormat="1" applyFont="1" applyFill="1" applyBorder="1" applyAlignment="1" applyProtection="1">
      <alignment horizontal="left"/>
    </xf>
    <xf numFmtId="0" fontId="19" fillId="4" borderId="10" xfId="0" applyFont="1" applyFill="1" applyBorder="1" applyProtection="1"/>
    <xf numFmtId="1" fontId="11" fillId="4" borderId="11" xfId="0" applyNumberFormat="1" applyFont="1" applyFill="1" applyBorder="1" applyAlignment="1" applyProtection="1">
      <alignment horizontal="left"/>
    </xf>
    <xf numFmtId="164" fontId="19" fillId="4" borderId="11" xfId="0" applyNumberFormat="1" applyFont="1" applyFill="1" applyBorder="1" applyAlignment="1" applyProtection="1">
      <alignment horizontal="left"/>
    </xf>
    <xf numFmtId="0" fontId="12" fillId="4" borderId="11" xfId="0" applyNumberFormat="1" applyFont="1" applyFill="1" applyBorder="1" applyAlignment="1" applyProtection="1">
      <alignment horizontal="left"/>
    </xf>
    <xf numFmtId="164" fontId="12" fillId="4" borderId="11" xfId="0" applyNumberFormat="1" applyFont="1" applyFill="1" applyBorder="1" applyAlignment="1" applyProtection="1">
      <alignment horizontal="left"/>
    </xf>
    <xf numFmtId="167" fontId="10" fillId="5" borderId="14" xfId="0" applyNumberFormat="1" applyFont="1" applyFill="1" applyBorder="1" applyAlignment="1" applyProtection="1">
      <alignment horizontal="left"/>
      <protection locked="0"/>
    </xf>
    <xf numFmtId="164" fontId="10" fillId="5" borderId="14" xfId="4" applyNumberFormat="1" applyFont="1" applyFill="1" applyBorder="1" applyAlignment="1" applyProtection="1">
      <alignment horizontal="left"/>
      <protection locked="0"/>
    </xf>
    <xf numFmtId="0" fontId="10" fillId="5" borderId="14" xfId="0" applyFont="1" applyFill="1" applyBorder="1" applyAlignment="1" applyProtection="1">
      <alignment horizontal="left"/>
      <protection locked="0"/>
    </xf>
    <xf numFmtId="0" fontId="10" fillId="4" borderId="0" xfId="0" applyFont="1" applyFill="1" applyBorder="1" applyAlignment="1" applyProtection="1"/>
    <xf numFmtId="173" fontId="10" fillId="4" borderId="0" xfId="0" applyNumberFormat="1" applyFont="1" applyFill="1" applyBorder="1" applyAlignment="1" applyProtection="1">
      <alignment horizontal="center"/>
    </xf>
    <xf numFmtId="0" fontId="10" fillId="4" borderId="0" xfId="0" applyNumberFormat="1" applyFont="1" applyFill="1" applyBorder="1" applyAlignment="1" applyProtection="1">
      <alignment horizontal="center"/>
    </xf>
    <xf numFmtId="171" fontId="10" fillId="4" borderId="0" xfId="0" applyNumberFormat="1" applyFont="1" applyFill="1" applyBorder="1" applyProtection="1"/>
    <xf numFmtId="169" fontId="10" fillId="4" borderId="0" xfId="0" applyNumberFormat="1" applyFont="1" applyFill="1" applyBorder="1" applyProtection="1"/>
    <xf numFmtId="0" fontId="28" fillId="4" borderId="0" xfId="0" applyFont="1" applyFill="1" applyBorder="1" applyProtection="1"/>
    <xf numFmtId="0" fontId="28" fillId="4" borderId="0" xfId="0" applyNumberFormat="1" applyFont="1" applyFill="1" applyBorder="1" applyAlignment="1" applyProtection="1">
      <alignment horizontal="center"/>
    </xf>
    <xf numFmtId="171" fontId="28" fillId="4" borderId="0" xfId="0" applyNumberFormat="1" applyFont="1" applyFill="1" applyBorder="1" applyAlignment="1" applyProtection="1">
      <alignment horizontal="center"/>
    </xf>
    <xf numFmtId="171" fontId="28" fillId="4" borderId="0" xfId="0" applyNumberFormat="1" applyFont="1" applyFill="1" applyBorder="1" applyProtection="1"/>
    <xf numFmtId="1" fontId="28" fillId="4" borderId="0" xfId="0" applyNumberFormat="1" applyFont="1" applyFill="1" applyBorder="1" applyProtection="1"/>
    <xf numFmtId="0" fontId="14" fillId="4" borderId="0" xfId="0" applyFont="1" applyFill="1" applyBorder="1" applyProtection="1"/>
    <xf numFmtId="0" fontId="14" fillId="4" borderId="0" xfId="0" applyNumberFormat="1" applyFont="1" applyFill="1" applyBorder="1" applyAlignment="1" applyProtection="1">
      <alignment horizontal="center"/>
    </xf>
    <xf numFmtId="171" fontId="14" fillId="4" borderId="0" xfId="0" applyNumberFormat="1" applyFont="1" applyFill="1" applyBorder="1" applyAlignment="1" applyProtection="1">
      <alignment horizontal="center"/>
    </xf>
    <xf numFmtId="171" fontId="14" fillId="4" borderId="0" xfId="0" applyNumberFormat="1" applyFont="1" applyFill="1" applyBorder="1" applyProtection="1"/>
    <xf numFmtId="1" fontId="14" fillId="4" borderId="0" xfId="0" applyNumberFormat="1"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6" fillId="4" borderId="0" xfId="0" applyNumberFormat="1" applyFont="1" applyFill="1" applyBorder="1" applyAlignment="1" applyProtection="1">
      <alignment horizontal="center"/>
    </xf>
    <xf numFmtId="171" fontId="16" fillId="4" borderId="0" xfId="0" applyNumberFormat="1" applyFont="1" applyFill="1" applyBorder="1" applyAlignment="1" applyProtection="1">
      <alignment horizontal="center"/>
    </xf>
    <xf numFmtId="171" fontId="16" fillId="4" borderId="0" xfId="0" applyNumberFormat="1" applyFont="1" applyFill="1" applyBorder="1" applyProtection="1"/>
    <xf numFmtId="1" fontId="16" fillId="4" borderId="0" xfId="0" applyNumberFormat="1" applyFont="1" applyFill="1" applyBorder="1" applyProtection="1"/>
    <xf numFmtId="172" fontId="11" fillId="4" borderId="0" xfId="0" applyNumberFormat="1" applyFont="1" applyFill="1" applyBorder="1" applyAlignment="1" applyProtection="1">
      <alignment horizontal="left"/>
    </xf>
    <xf numFmtId="0" fontId="12" fillId="4" borderId="0" xfId="0" applyFont="1" applyFill="1" applyBorder="1" applyAlignment="1" applyProtection="1">
      <alignment horizontal="left"/>
    </xf>
    <xf numFmtId="167" fontId="10" fillId="4" borderId="0" xfId="4" applyNumberFormat="1" applyFont="1" applyFill="1" applyBorder="1" applyProtection="1"/>
    <xf numFmtId="171" fontId="10" fillId="4" borderId="0" xfId="4" applyNumberFormat="1" applyFont="1" applyFill="1" applyBorder="1" applyAlignment="1" applyProtection="1">
      <alignment horizontal="center"/>
    </xf>
    <xf numFmtId="0" fontId="11" fillId="4" borderId="0" xfId="0" applyNumberFormat="1" applyFont="1" applyFill="1" applyBorder="1" applyProtection="1"/>
    <xf numFmtId="0" fontId="40" fillId="4" borderId="0" xfId="0" applyFont="1" applyFill="1" applyBorder="1" applyProtection="1"/>
    <xf numFmtId="167" fontId="40" fillId="4" borderId="0" xfId="4" applyNumberFormat="1" applyFont="1" applyFill="1" applyBorder="1" applyProtection="1"/>
    <xf numFmtId="0" fontId="10" fillId="5" borderId="3" xfId="0" applyFont="1" applyFill="1" applyBorder="1" applyAlignment="1" applyProtection="1"/>
    <xf numFmtId="173" fontId="10" fillId="5" borderId="3" xfId="0" applyNumberFormat="1" applyFont="1" applyFill="1" applyBorder="1" applyAlignment="1" applyProtection="1">
      <alignment horizontal="center"/>
    </xf>
    <xf numFmtId="0" fontId="10" fillId="5" borderId="3" xfId="0" applyNumberFormat="1" applyFont="1" applyFill="1" applyBorder="1" applyAlignment="1" applyProtection="1">
      <alignment horizontal="center"/>
    </xf>
    <xf numFmtId="171" fontId="10" fillId="5" borderId="3" xfId="0" applyNumberFormat="1" applyFont="1" applyFill="1" applyBorder="1" applyAlignment="1" applyProtection="1">
      <alignment horizontal="center"/>
    </xf>
    <xf numFmtId="164" fontId="10" fillId="5" borderId="3" xfId="0" applyNumberFormat="1" applyFont="1" applyFill="1" applyBorder="1" applyProtection="1"/>
    <xf numFmtId="167" fontId="10" fillId="5" borderId="3" xfId="0" applyNumberFormat="1" applyFont="1" applyFill="1" applyBorder="1" applyProtection="1"/>
    <xf numFmtId="0" fontId="10" fillId="5" borderId="0" xfId="0" applyFont="1" applyFill="1" applyBorder="1" applyAlignment="1" applyProtection="1"/>
    <xf numFmtId="173" fontId="10" fillId="5" borderId="0" xfId="0" applyNumberFormat="1" applyFont="1" applyFill="1" applyBorder="1" applyAlignment="1" applyProtection="1">
      <alignment horizontal="center"/>
    </xf>
    <xf numFmtId="0" fontId="10" fillId="5" borderId="0" xfId="0" applyNumberFormat="1" applyFont="1" applyFill="1" applyBorder="1" applyAlignment="1" applyProtection="1">
      <alignment horizontal="center"/>
    </xf>
    <xf numFmtId="171" fontId="10" fillId="5" borderId="0" xfId="0" applyNumberFormat="1" applyFont="1" applyFill="1" applyBorder="1" applyAlignment="1" applyProtection="1">
      <alignment horizontal="center"/>
    </xf>
    <xf numFmtId="164" fontId="10" fillId="5" borderId="0" xfId="0" applyNumberFormat="1" applyFont="1" applyFill="1" applyBorder="1" applyProtection="1"/>
    <xf numFmtId="167" fontId="10" fillId="5" borderId="0" xfId="0" applyNumberFormat="1" applyFont="1" applyFill="1" applyBorder="1" applyProtection="1"/>
    <xf numFmtId="0" fontId="26" fillId="5" borderId="0" xfId="0" applyFont="1" applyFill="1" applyBorder="1" applyAlignment="1" applyProtection="1">
      <alignment horizontal="left"/>
    </xf>
    <xf numFmtId="0" fontId="28" fillId="5" borderId="0" xfId="0" applyFont="1" applyFill="1" applyBorder="1" applyAlignment="1" applyProtection="1"/>
    <xf numFmtId="0" fontId="28" fillId="5" borderId="0" xfId="0" applyFont="1" applyFill="1" applyBorder="1" applyAlignment="1" applyProtection="1">
      <alignment horizontal="left"/>
    </xf>
    <xf numFmtId="0" fontId="28" fillId="5" borderId="0" xfId="0" applyFont="1" applyFill="1" applyBorder="1" applyAlignment="1" applyProtection="1">
      <alignment horizontal="center"/>
    </xf>
    <xf numFmtId="173" fontId="28" fillId="5" borderId="0" xfId="0" applyNumberFormat="1" applyFont="1" applyFill="1" applyBorder="1" applyAlignment="1" applyProtection="1">
      <alignment horizontal="center"/>
    </xf>
    <xf numFmtId="0" fontId="28" fillId="5" borderId="0" xfId="0" applyNumberFormat="1" applyFont="1" applyFill="1" applyBorder="1" applyAlignment="1" applyProtection="1">
      <alignment horizontal="center"/>
    </xf>
    <xf numFmtId="171" fontId="28" fillId="5" borderId="0" xfId="0" applyNumberFormat="1" applyFont="1" applyFill="1" applyBorder="1" applyAlignment="1" applyProtection="1">
      <alignment horizontal="center"/>
    </xf>
    <xf numFmtId="0" fontId="28" fillId="5" borderId="0" xfId="0" applyFont="1" applyFill="1" applyBorder="1" applyProtection="1"/>
    <xf numFmtId="164" fontId="28" fillId="5" borderId="0" xfId="0" applyNumberFormat="1" applyFont="1" applyFill="1" applyBorder="1" applyProtection="1"/>
    <xf numFmtId="0" fontId="28" fillId="5" borderId="6" xfId="0" applyFont="1" applyFill="1" applyBorder="1" applyProtection="1"/>
    <xf numFmtId="0" fontId="38" fillId="5" borderId="5" xfId="0" applyFont="1" applyFill="1" applyBorder="1" applyAlignment="1" applyProtection="1">
      <alignment horizontal="left"/>
    </xf>
    <xf numFmtId="0" fontId="21" fillId="5" borderId="0" xfId="0" applyFont="1" applyFill="1" applyBorder="1" applyAlignment="1" applyProtection="1">
      <alignment horizontal="left"/>
    </xf>
    <xf numFmtId="0" fontId="14" fillId="5" borderId="0" xfId="0" applyFont="1" applyFill="1" applyBorder="1" applyAlignment="1" applyProtection="1"/>
    <xf numFmtId="0" fontId="14" fillId="5" borderId="0" xfId="0" applyFont="1" applyFill="1" applyBorder="1" applyAlignment="1" applyProtection="1">
      <alignment horizontal="left"/>
    </xf>
    <xf numFmtId="0" fontId="14" fillId="5" borderId="0" xfId="0" applyFont="1" applyFill="1" applyBorder="1" applyAlignment="1" applyProtection="1">
      <alignment horizontal="center"/>
    </xf>
    <xf numFmtId="173"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171" fontId="14" fillId="5" borderId="0" xfId="0" applyNumberFormat="1" applyFont="1" applyFill="1" applyBorder="1" applyAlignment="1" applyProtection="1">
      <alignment horizontal="center"/>
    </xf>
    <xf numFmtId="0" fontId="14" fillId="5" borderId="0" xfId="0" applyFont="1" applyFill="1" applyBorder="1" applyProtection="1"/>
    <xf numFmtId="164" fontId="14" fillId="5" borderId="0" xfId="0" applyNumberFormat="1" applyFont="1" applyFill="1" applyBorder="1" applyProtection="1"/>
    <xf numFmtId="0" fontId="14" fillId="5" borderId="6" xfId="0" applyFont="1" applyFill="1" applyBorder="1" applyProtection="1"/>
    <xf numFmtId="0" fontId="16" fillId="5" borderId="5" xfId="0" applyFont="1" applyFill="1" applyBorder="1" applyProtection="1"/>
    <xf numFmtId="0" fontId="16" fillId="5" borderId="0" xfId="0" applyFont="1" applyFill="1" applyBorder="1" applyProtection="1"/>
    <xf numFmtId="0" fontId="20" fillId="5" borderId="0" xfId="0" applyFont="1" applyFill="1" applyBorder="1" applyAlignment="1" applyProtection="1"/>
    <xf numFmtId="172" fontId="18" fillId="5" borderId="0" xfId="0" applyNumberFormat="1" applyFont="1" applyFill="1" applyBorder="1" applyAlignment="1" applyProtection="1">
      <alignment horizontal="left"/>
    </xf>
    <xf numFmtId="0" fontId="15" fillId="5" borderId="0" xfId="0" applyFont="1" applyFill="1" applyBorder="1" applyAlignment="1" applyProtection="1">
      <alignment horizontal="center"/>
    </xf>
    <xf numFmtId="173" fontId="15" fillId="5" borderId="0" xfId="0" applyNumberFormat="1" applyFont="1" applyFill="1" applyBorder="1" applyAlignment="1" applyProtection="1">
      <alignment horizontal="center"/>
    </xf>
    <xf numFmtId="0" fontId="16" fillId="5" borderId="0" xfId="0" applyNumberFormat="1" applyFont="1" applyFill="1" applyBorder="1" applyAlignment="1" applyProtection="1">
      <alignment horizontal="center"/>
    </xf>
    <xf numFmtId="171" fontId="16" fillId="5" borderId="0" xfId="0" applyNumberFormat="1" applyFont="1" applyFill="1" applyBorder="1" applyAlignment="1" applyProtection="1">
      <alignment horizontal="center"/>
    </xf>
    <xf numFmtId="164" fontId="16" fillId="5" borderId="0" xfId="0" applyNumberFormat="1" applyFont="1" applyFill="1" applyBorder="1" applyProtection="1"/>
    <xf numFmtId="0" fontId="16" fillId="5" borderId="6" xfId="0" applyFont="1" applyFill="1" applyBorder="1" applyProtection="1"/>
    <xf numFmtId="172" fontId="11" fillId="5" borderId="0" xfId="0" applyNumberFormat="1" applyFont="1" applyFill="1" applyBorder="1" applyAlignment="1" applyProtection="1">
      <alignment horizontal="left"/>
    </xf>
    <xf numFmtId="173" fontId="12" fillId="5" borderId="0" xfId="0" applyNumberFormat="1" applyFont="1" applyFill="1" applyBorder="1" applyAlignment="1" applyProtection="1">
      <alignment horizontal="center"/>
    </xf>
    <xf numFmtId="0" fontId="18" fillId="5" borderId="0" xfId="0" applyFont="1" applyFill="1" applyBorder="1" applyAlignment="1" applyProtection="1">
      <alignment horizontal="left"/>
    </xf>
    <xf numFmtId="0" fontId="39" fillId="5" borderId="6" xfId="0" applyNumberFormat="1" applyFont="1" applyFill="1" applyBorder="1" applyProtection="1"/>
    <xf numFmtId="164" fontId="11" fillId="5" borderId="0" xfId="0" applyNumberFormat="1" applyFont="1" applyFill="1" applyBorder="1" applyProtection="1"/>
    <xf numFmtId="0" fontId="11" fillId="5" borderId="6" xfId="0" applyNumberFormat="1" applyFont="1" applyFill="1" applyBorder="1" applyProtection="1"/>
    <xf numFmtId="0" fontId="40" fillId="5" borderId="5" xfId="0" applyFont="1" applyFill="1" applyBorder="1" applyProtection="1"/>
    <xf numFmtId="0" fontId="40" fillId="5" borderId="6" xfId="0" applyFont="1" applyFill="1" applyBorder="1" applyProtection="1"/>
    <xf numFmtId="0" fontId="10" fillId="5" borderId="8" xfId="0" applyFont="1" applyFill="1" applyBorder="1" applyAlignment="1" applyProtection="1"/>
    <xf numFmtId="0" fontId="10" fillId="5" borderId="8" xfId="0" applyNumberFormat="1" applyFont="1" applyFill="1" applyBorder="1" applyAlignment="1" applyProtection="1">
      <alignment horizontal="center"/>
    </xf>
    <xf numFmtId="171" fontId="10" fillId="5" borderId="8" xfId="4" applyNumberFormat="1" applyFont="1" applyFill="1" applyBorder="1" applyAlignment="1" applyProtection="1">
      <alignment horizontal="center"/>
    </xf>
    <xf numFmtId="171" fontId="10" fillId="5" borderId="8" xfId="0" applyNumberFormat="1" applyFont="1" applyFill="1" applyBorder="1" applyAlignment="1" applyProtection="1">
      <alignment horizontal="center"/>
    </xf>
    <xf numFmtId="167" fontId="10" fillId="5" borderId="8" xfId="4" applyNumberFormat="1" applyFont="1" applyFill="1" applyBorder="1" applyProtection="1"/>
    <xf numFmtId="164" fontId="10" fillId="5" borderId="8" xfId="0" applyNumberFormat="1" applyFont="1" applyFill="1" applyBorder="1" applyAlignment="1" applyProtection="1">
      <alignment horizontal="center"/>
    </xf>
    <xf numFmtId="0" fontId="10" fillId="5" borderId="14" xfId="0" applyFont="1" applyFill="1" applyBorder="1" applyAlignment="1" applyProtection="1">
      <protection locked="0"/>
    </xf>
    <xf numFmtId="173" fontId="10" fillId="5" borderId="14" xfId="0" applyNumberFormat="1" applyFont="1" applyFill="1" applyBorder="1" applyAlignment="1" applyProtection="1">
      <alignment horizontal="center"/>
      <protection locked="0"/>
    </xf>
    <xf numFmtId="0" fontId="10" fillId="5" borderId="14" xfId="0" applyNumberFormat="1" applyFont="1" applyFill="1" applyBorder="1" applyAlignment="1" applyProtection="1">
      <alignment horizontal="center"/>
      <protection locked="0"/>
    </xf>
    <xf numFmtId="171" fontId="10" fillId="5" borderId="14" xfId="4" applyNumberFormat="1" applyFont="1" applyFill="1" applyBorder="1" applyAlignment="1" applyProtection="1">
      <alignment horizontal="center"/>
      <protection locked="0"/>
    </xf>
    <xf numFmtId="0" fontId="10" fillId="4" borderId="11" xfId="0" applyFont="1" applyFill="1" applyBorder="1" applyAlignment="1" applyProtection="1"/>
    <xf numFmtId="0" fontId="12" fillId="4" borderId="11" xfId="0" applyFont="1" applyFill="1" applyBorder="1" applyAlignment="1" applyProtection="1">
      <alignment horizontal="left"/>
    </xf>
    <xf numFmtId="0" fontId="10" fillId="4" borderId="11" xfId="0" applyFont="1" applyFill="1" applyBorder="1" applyAlignment="1" applyProtection="1">
      <alignment horizontal="left"/>
    </xf>
    <xf numFmtId="173" fontId="10" fillId="4" borderId="11" xfId="0" applyNumberFormat="1" applyFont="1" applyFill="1" applyBorder="1" applyAlignment="1" applyProtection="1">
      <alignment horizontal="center"/>
    </xf>
    <xf numFmtId="0" fontId="10" fillId="4" borderId="11" xfId="0" applyNumberFormat="1" applyFont="1" applyFill="1" applyBorder="1" applyAlignment="1" applyProtection="1">
      <alignment horizontal="center"/>
    </xf>
    <xf numFmtId="171" fontId="10" fillId="4" borderId="11" xfId="0" applyNumberFormat="1" applyFont="1" applyFill="1" applyBorder="1" applyAlignment="1" applyProtection="1">
      <alignment horizontal="center"/>
    </xf>
    <xf numFmtId="164" fontId="10" fillId="4" borderId="11" xfId="0" applyNumberFormat="1" applyFont="1" applyFill="1" applyBorder="1" applyProtection="1"/>
    <xf numFmtId="167" fontId="10" fillId="4" borderId="11" xfId="0" applyNumberFormat="1" applyFont="1" applyFill="1" applyBorder="1" applyProtection="1"/>
    <xf numFmtId="1" fontId="19"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center"/>
    </xf>
    <xf numFmtId="171" fontId="19" fillId="4" borderId="14" xfId="0" applyNumberFormat="1" applyFont="1" applyFill="1" applyBorder="1" applyAlignment="1" applyProtection="1">
      <alignment horizontal="center"/>
    </xf>
    <xf numFmtId="164" fontId="19"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protection locked="0"/>
    </xf>
    <xf numFmtId="0" fontId="10" fillId="4" borderId="14" xfId="0" applyNumberFormat="1" applyFont="1" applyFill="1" applyBorder="1" applyAlignment="1" applyProtection="1">
      <alignment horizontal="center"/>
    </xf>
    <xf numFmtId="0" fontId="10" fillId="4" borderId="15" xfId="0" applyNumberFormat="1" applyFont="1" applyFill="1" applyBorder="1" applyProtection="1"/>
    <xf numFmtId="171" fontId="11" fillId="4" borderId="14" xfId="0" applyNumberFormat="1" applyFont="1" applyFill="1" applyBorder="1" applyAlignment="1" applyProtection="1">
      <alignment horizontal="center"/>
    </xf>
    <xf numFmtId="173" fontId="11" fillId="4" borderId="14" xfId="0" applyNumberFormat="1" applyFont="1" applyFill="1" applyBorder="1" applyAlignment="1" applyProtection="1">
      <alignment horizontal="center"/>
    </xf>
    <xf numFmtId="0" fontId="10" fillId="4" borderId="17" xfId="0" applyFont="1" applyFill="1" applyBorder="1" applyAlignment="1" applyProtection="1"/>
    <xf numFmtId="173" fontId="10" fillId="4" borderId="17" xfId="0" applyNumberFormat="1" applyFont="1" applyFill="1" applyBorder="1" applyAlignment="1" applyProtection="1">
      <alignment horizontal="center"/>
    </xf>
    <xf numFmtId="0" fontId="10" fillId="4" borderId="17" xfId="0" applyNumberFormat="1" applyFont="1" applyFill="1" applyBorder="1" applyAlignment="1" applyProtection="1">
      <alignment horizontal="center"/>
    </xf>
    <xf numFmtId="171" fontId="10" fillId="4" borderId="17" xfId="0" applyNumberFormat="1" applyFont="1" applyFill="1" applyBorder="1" applyAlignment="1" applyProtection="1">
      <alignment horizontal="center"/>
    </xf>
    <xf numFmtId="167" fontId="11" fillId="4" borderId="17" xfId="0" applyNumberFormat="1" applyFont="1" applyFill="1" applyBorder="1" applyProtection="1"/>
    <xf numFmtId="164" fontId="11" fillId="4" borderId="17" xfId="0" applyNumberFormat="1" applyFont="1" applyFill="1" applyBorder="1" applyProtection="1"/>
    <xf numFmtId="0" fontId="10" fillId="4" borderId="18" xfId="0" applyNumberFormat="1" applyFont="1" applyFill="1" applyBorder="1" applyProtection="1"/>
    <xf numFmtId="0" fontId="49" fillId="5" borderId="5" xfId="0" applyFont="1" applyFill="1" applyBorder="1" applyAlignment="1" applyProtection="1">
      <alignment horizontal="center"/>
    </xf>
    <xf numFmtId="0" fontId="49" fillId="4" borderId="13" xfId="0" applyFont="1" applyFill="1" applyBorder="1" applyAlignment="1" applyProtection="1">
      <alignment horizontal="center"/>
    </xf>
    <xf numFmtId="167" fontId="49" fillId="5" borderId="6" xfId="0" applyNumberFormat="1" applyFont="1" applyFill="1" applyBorder="1" applyAlignment="1" applyProtection="1">
      <alignment horizontal="center"/>
    </xf>
    <xf numFmtId="167" fontId="49" fillId="4" borderId="0" xfId="0" applyNumberFormat="1" applyFont="1" applyFill="1" applyBorder="1" applyAlignment="1" applyProtection="1">
      <alignment horizontal="center"/>
    </xf>
    <xf numFmtId="167" fontId="52" fillId="5" borderId="6" xfId="0" applyNumberFormat="1" applyFont="1" applyFill="1" applyBorder="1" applyAlignment="1" applyProtection="1">
      <alignment horizontal="center"/>
    </xf>
    <xf numFmtId="167" fontId="52" fillId="4" borderId="0" xfId="0" applyNumberFormat="1" applyFont="1" applyFill="1" applyBorder="1" applyAlignment="1" applyProtection="1">
      <alignment horizontal="center"/>
    </xf>
    <xf numFmtId="167" fontId="49" fillId="4" borderId="0" xfId="4" applyNumberFormat="1" applyFont="1" applyFill="1" applyBorder="1" applyAlignment="1" applyProtection="1">
      <alignment horizontal="center"/>
    </xf>
    <xf numFmtId="0" fontId="6" fillId="5" borderId="14" xfId="0" applyFont="1" applyFill="1" applyBorder="1" applyAlignment="1" applyProtection="1">
      <alignment horizontal="left"/>
      <protection locked="0"/>
    </xf>
    <xf numFmtId="0" fontId="6" fillId="5" borderId="14" xfId="0" applyNumberFormat="1" applyFont="1" applyFill="1" applyBorder="1" applyAlignment="1" applyProtection="1">
      <alignment horizontal="center"/>
      <protection locked="0"/>
    </xf>
    <xf numFmtId="0" fontId="44" fillId="5" borderId="3" xfId="0" applyFont="1" applyFill="1" applyBorder="1" applyProtection="1"/>
    <xf numFmtId="0" fontId="60" fillId="5" borderId="0" xfId="0" applyFont="1" applyFill="1" applyBorder="1" applyProtection="1"/>
    <xf numFmtId="0" fontId="61" fillId="5" borderId="0" xfId="0" applyFont="1" applyFill="1" applyBorder="1" applyProtection="1"/>
    <xf numFmtId="0" fontId="44" fillId="4" borderId="11" xfId="0" applyFont="1" applyFill="1" applyBorder="1" applyProtection="1"/>
    <xf numFmtId="167" fontId="45" fillId="4" borderId="17" xfId="0" applyNumberFormat="1" applyFont="1" applyFill="1" applyBorder="1" applyProtection="1"/>
    <xf numFmtId="167" fontId="45" fillId="5" borderId="0" xfId="0" applyNumberFormat="1" applyFont="1" applyFill="1" applyBorder="1" applyProtection="1"/>
    <xf numFmtId="167" fontId="44" fillId="5" borderId="8" xfId="4" applyNumberFormat="1" applyFont="1" applyFill="1" applyBorder="1" applyProtection="1"/>
    <xf numFmtId="167" fontId="44" fillId="4" borderId="0" xfId="4" applyNumberFormat="1" applyFont="1" applyFill="1" applyBorder="1" applyProtection="1"/>
    <xf numFmtId="0" fontId="13" fillId="4" borderId="0" xfId="0" applyFont="1" applyFill="1" applyBorder="1" applyAlignment="1" applyProtection="1">
      <alignment horizontal="left"/>
    </xf>
    <xf numFmtId="0" fontId="13" fillId="4" borderId="0" xfId="0" applyFont="1" applyFill="1" applyBorder="1" applyAlignment="1" applyProtection="1">
      <alignment horizontal="center"/>
    </xf>
    <xf numFmtId="173" fontId="13" fillId="4"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center"/>
    </xf>
    <xf numFmtId="175"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right"/>
    </xf>
    <xf numFmtId="14" fontId="10" fillId="4" borderId="0" xfId="0" applyNumberFormat="1" applyFont="1" applyFill="1" applyBorder="1" applyAlignment="1" applyProtection="1">
      <alignment horizontal="center"/>
    </xf>
    <xf numFmtId="167" fontId="25" fillId="4" borderId="0" xfId="0" applyNumberFormat="1" applyFont="1" applyFill="1" applyBorder="1" applyProtection="1"/>
    <xf numFmtId="167" fontId="40" fillId="4" borderId="0" xfId="0" applyNumberFormat="1" applyFont="1" applyFill="1" applyBorder="1" applyProtection="1"/>
    <xf numFmtId="0" fontId="12" fillId="4" borderId="0" xfId="0" applyFont="1" applyFill="1" applyBorder="1" applyAlignment="1" applyProtection="1">
      <alignment horizontal="right"/>
    </xf>
    <xf numFmtId="165" fontId="19" fillId="4" borderId="0" xfId="4" applyNumberFormat="1" applyFont="1" applyFill="1" applyBorder="1" applyProtection="1"/>
    <xf numFmtId="0" fontId="7" fillId="4" borderId="0" xfId="0" applyFont="1" applyFill="1" applyBorder="1" applyProtection="1"/>
    <xf numFmtId="0" fontId="6" fillId="4" borderId="0" xfId="0" applyFont="1" applyFill="1" applyBorder="1" applyProtection="1"/>
    <xf numFmtId="0" fontId="10" fillId="4" borderId="0" xfId="0" applyFont="1" applyFill="1" applyBorder="1"/>
    <xf numFmtId="0" fontId="25" fillId="4" borderId="0" xfId="0" applyFont="1" applyFill="1" applyBorder="1"/>
    <xf numFmtId="0" fontId="38" fillId="4" borderId="0" xfId="0" applyFont="1" applyFill="1" applyBorder="1"/>
    <xf numFmtId="0" fontId="35" fillId="4" borderId="0" xfId="0" applyFont="1" applyFill="1" applyBorder="1" applyProtection="1"/>
    <xf numFmtId="164" fontId="25" fillId="4" borderId="0" xfId="0" applyNumberFormat="1" applyFont="1" applyFill="1" applyBorder="1" applyProtection="1"/>
    <xf numFmtId="0" fontId="7" fillId="4" borderId="0" xfId="0" applyFont="1" applyFill="1" applyBorder="1" applyAlignment="1" applyProtection="1">
      <alignment horizontal="left"/>
    </xf>
    <xf numFmtId="0" fontId="6" fillId="4" borderId="0" xfId="0" applyNumberFormat="1" applyFont="1" applyFill="1" applyBorder="1" applyProtection="1"/>
    <xf numFmtId="0" fontId="6" fillId="5" borderId="2" xfId="0" applyFont="1" applyFill="1" applyBorder="1" applyProtection="1"/>
    <xf numFmtId="0" fontId="6" fillId="5" borderId="3" xfId="0" applyFont="1" applyFill="1" applyBorder="1" applyProtection="1"/>
    <xf numFmtId="0" fontId="6" fillId="5" borderId="3" xfId="0" applyNumberFormat="1" applyFont="1" applyFill="1" applyBorder="1" applyProtection="1"/>
    <xf numFmtId="0" fontId="6" fillId="5" borderId="4" xfId="0" applyFont="1" applyFill="1" applyBorder="1" applyProtection="1"/>
    <xf numFmtId="0" fontId="6" fillId="5" borderId="5" xfId="0" applyFont="1" applyFill="1" applyBorder="1" applyProtection="1"/>
    <xf numFmtId="0" fontId="6" fillId="5" borderId="0" xfId="0" applyFont="1" applyFill="1" applyBorder="1" applyProtection="1"/>
    <xf numFmtId="0" fontId="6" fillId="5" borderId="0" xfId="0" applyNumberFormat="1" applyFont="1" applyFill="1" applyBorder="1" applyProtection="1"/>
    <xf numFmtId="0" fontId="6" fillId="5" borderId="6" xfId="0" applyFont="1" applyFill="1" applyBorder="1" applyProtection="1"/>
    <xf numFmtId="0" fontId="26" fillId="5" borderId="5" xfId="0" applyFont="1" applyFill="1" applyBorder="1" applyProtection="1"/>
    <xf numFmtId="0" fontId="35" fillId="5" borderId="0" xfId="0" applyFont="1" applyFill="1" applyBorder="1" applyProtection="1"/>
    <xf numFmtId="0" fontId="21" fillId="5" borderId="6" xfId="0" applyFont="1" applyFill="1" applyBorder="1" applyProtection="1"/>
    <xf numFmtId="0" fontId="8" fillId="5" borderId="0" xfId="0" applyFont="1" applyFill="1" applyBorder="1" applyAlignment="1" applyProtection="1">
      <alignment horizontal="right"/>
    </xf>
    <xf numFmtId="0" fontId="30" fillId="5" borderId="0" xfId="0" applyFont="1" applyFill="1" applyBorder="1" applyProtection="1"/>
    <xf numFmtId="0" fontId="8" fillId="5" borderId="5" xfId="0" applyFont="1" applyFill="1" applyBorder="1" applyAlignment="1" applyProtection="1">
      <alignment horizontal="right"/>
    </xf>
    <xf numFmtId="0" fontId="36" fillId="5" borderId="5" xfId="0" applyFont="1" applyFill="1" applyBorder="1" applyProtection="1"/>
    <xf numFmtId="0" fontId="33" fillId="5" borderId="0" xfId="0" applyNumberFormat="1" applyFont="1" applyFill="1" applyBorder="1" applyAlignment="1" applyProtection="1">
      <alignment horizontal="right"/>
    </xf>
    <xf numFmtId="0" fontId="8" fillId="4" borderId="0" xfId="0" applyFont="1" applyFill="1" applyBorder="1" applyAlignment="1" applyProtection="1">
      <alignment horizontal="right"/>
    </xf>
    <xf numFmtId="0" fontId="6" fillId="4" borderId="10" xfId="0" applyFont="1" applyFill="1" applyBorder="1" applyProtection="1"/>
    <xf numFmtId="0" fontId="6" fillId="4" borderId="11" xfId="0" applyFont="1" applyFill="1" applyBorder="1" applyProtection="1"/>
    <xf numFmtId="164" fontId="6" fillId="4" borderId="11" xfId="0" applyNumberFormat="1" applyFont="1" applyFill="1" applyBorder="1" applyProtection="1"/>
    <xf numFmtId="0" fontId="6" fillId="4" borderId="12" xfId="0" applyFont="1" applyFill="1" applyBorder="1" applyProtection="1"/>
    <xf numFmtId="0" fontId="6" fillId="4" borderId="0" xfId="0" applyFont="1" applyFill="1" applyBorder="1" applyAlignment="1" applyProtection="1">
      <alignment horizontal="left" indent="2"/>
    </xf>
    <xf numFmtId="0" fontId="6" fillId="4" borderId="0" xfId="0" applyFont="1" applyFill="1" applyBorder="1" applyAlignment="1" applyProtection="1">
      <alignment horizontal="left"/>
    </xf>
    <xf numFmtId="0" fontId="6" fillId="4" borderId="0" xfId="0" applyFont="1" applyFill="1" applyBorder="1" applyAlignment="1" applyProtection="1">
      <alignment horizontal="right"/>
    </xf>
    <xf numFmtId="164" fontId="6" fillId="5" borderId="13" xfId="0" applyNumberFormat="1" applyFont="1" applyFill="1" applyBorder="1" applyProtection="1">
      <protection locked="0"/>
    </xf>
    <xf numFmtId="0" fontId="6" fillId="4" borderId="15" xfId="0" applyFont="1" applyFill="1" applyBorder="1" applyProtection="1"/>
    <xf numFmtId="0" fontId="7" fillId="4" borderId="0" xfId="0" applyFont="1" applyFill="1" applyBorder="1" applyAlignment="1" applyProtection="1">
      <alignment horizontal="right"/>
    </xf>
    <xf numFmtId="164" fontId="6" fillId="5" borderId="14" xfId="0" applyNumberFormat="1" applyFont="1" applyFill="1" applyBorder="1" applyProtection="1">
      <protection locked="0"/>
    </xf>
    <xf numFmtId="0" fontId="7" fillId="4" borderId="0" xfId="0" applyFont="1" applyFill="1" applyBorder="1" applyAlignment="1" applyProtection="1">
      <alignment horizontal="left" indent="2"/>
    </xf>
    <xf numFmtId="0" fontId="6" fillId="4" borderId="16" xfId="0" applyFont="1" applyFill="1" applyBorder="1" applyProtection="1"/>
    <xf numFmtId="0" fontId="6" fillId="4" borderId="17" xfId="0" applyFont="1" applyFill="1" applyBorder="1" applyProtection="1"/>
    <xf numFmtId="0" fontId="6" fillId="4" borderId="17" xfId="0" applyNumberFormat="1" applyFont="1" applyFill="1" applyBorder="1" applyProtection="1"/>
    <xf numFmtId="0" fontId="6" fillId="4" borderId="18" xfId="0" applyFont="1" applyFill="1" applyBorder="1" applyProtection="1"/>
    <xf numFmtId="0" fontId="33" fillId="5" borderId="5" xfId="0" applyFont="1" applyFill="1" applyBorder="1" applyAlignment="1" applyProtection="1">
      <alignment horizontal="right"/>
    </xf>
    <xf numFmtId="0" fontId="6" fillId="5" borderId="7" xfId="0" applyFont="1" applyFill="1" applyBorder="1" applyProtection="1"/>
    <xf numFmtId="0" fontId="6" fillId="5" borderId="8" xfId="0" applyFont="1" applyFill="1" applyBorder="1" applyProtection="1"/>
    <xf numFmtId="0" fontId="6" fillId="5" borderId="9" xfId="0" applyFont="1" applyFill="1" applyBorder="1" applyProtection="1"/>
    <xf numFmtId="0" fontId="6" fillId="4" borderId="0" xfId="0" applyFont="1" applyFill="1" applyProtection="1"/>
    <xf numFmtId="0" fontId="50" fillId="5" borderId="0" xfId="0" applyFont="1" applyFill="1" applyBorder="1" applyAlignment="1" applyProtection="1">
      <alignment horizontal="right"/>
    </xf>
    <xf numFmtId="0" fontId="19" fillId="4" borderId="10" xfId="0" applyFont="1" applyFill="1" applyBorder="1" applyAlignment="1" applyProtection="1">
      <alignment horizontal="center"/>
    </xf>
    <xf numFmtId="0" fontId="19" fillId="4" borderId="11" xfId="0" applyFont="1" applyFill="1" applyBorder="1" applyAlignment="1" applyProtection="1">
      <alignment horizontal="center"/>
    </xf>
    <xf numFmtId="0" fontId="19" fillId="4" borderId="11" xfId="0" applyNumberFormat="1" applyFont="1" applyFill="1" applyBorder="1" applyAlignment="1" applyProtection="1">
      <alignment horizontal="center"/>
    </xf>
    <xf numFmtId="0" fontId="19" fillId="4" borderId="13" xfId="0" applyFont="1" applyFill="1" applyBorder="1" applyAlignment="1" applyProtection="1">
      <alignment horizontal="center"/>
    </xf>
    <xf numFmtId="0" fontId="25" fillId="5" borderId="5" xfId="0" applyFont="1" applyFill="1" applyBorder="1" applyAlignment="1" applyProtection="1">
      <alignment horizontal="right"/>
    </xf>
    <xf numFmtId="0" fontId="25" fillId="5" borderId="0" xfId="0" applyFont="1" applyFill="1" applyBorder="1" applyAlignment="1" applyProtection="1">
      <alignment horizontal="right"/>
    </xf>
    <xf numFmtId="0" fontId="36" fillId="5" borderId="0" xfId="0" applyFont="1" applyFill="1" applyBorder="1" applyAlignment="1" applyProtection="1">
      <alignment horizontal="right"/>
    </xf>
    <xf numFmtId="0" fontId="34" fillId="5" borderId="5" xfId="0" applyFont="1" applyFill="1" applyBorder="1" applyProtection="1"/>
    <xf numFmtId="0" fontId="34" fillId="5" borderId="0" xfId="0" applyFont="1" applyFill="1" applyBorder="1" applyProtection="1"/>
    <xf numFmtId="0" fontId="33" fillId="5" borderId="0" xfId="0" applyFont="1" applyFill="1" applyBorder="1" applyProtection="1"/>
    <xf numFmtId="0" fontId="33" fillId="5" borderId="6" xfId="0" applyFont="1" applyFill="1" applyBorder="1" applyProtection="1"/>
    <xf numFmtId="0" fontId="6" fillId="5" borderId="5" xfId="0" applyFont="1" applyFill="1" applyBorder="1" applyAlignment="1" applyProtection="1">
      <alignment horizontal="right"/>
    </xf>
    <xf numFmtId="0" fontId="6" fillId="4" borderId="10" xfId="0" applyFont="1" applyFill="1" applyBorder="1" applyAlignment="1" applyProtection="1">
      <alignment horizontal="right"/>
    </xf>
    <xf numFmtId="0" fontId="7" fillId="4" borderId="11" xfId="0" applyFont="1" applyFill="1" applyBorder="1" applyAlignment="1" applyProtection="1">
      <alignment horizontal="left"/>
    </xf>
    <xf numFmtId="0" fontId="6" fillId="4" borderId="13" xfId="0" applyFont="1" applyFill="1" applyBorder="1" applyAlignment="1" applyProtection="1">
      <alignment horizontal="right"/>
    </xf>
    <xf numFmtId="0" fontId="6" fillId="4" borderId="14" xfId="0" applyFont="1" applyFill="1" applyBorder="1" applyAlignment="1" applyProtection="1">
      <alignment horizontal="left"/>
    </xf>
    <xf numFmtId="164" fontId="6" fillId="5" borderId="14" xfId="0" applyNumberFormat="1" applyFont="1" applyFill="1" applyBorder="1" applyAlignment="1" applyProtection="1">
      <alignment horizontal="center"/>
      <protection locked="0"/>
    </xf>
    <xf numFmtId="164" fontId="6" fillId="5" borderId="14" xfId="0" applyNumberFormat="1" applyFont="1" applyFill="1" applyBorder="1" applyAlignment="1" applyProtection="1">
      <protection locked="0"/>
    </xf>
    <xf numFmtId="0" fontId="6" fillId="4" borderId="14" xfId="0" quotePrefix="1" applyFont="1" applyFill="1" applyBorder="1" applyAlignment="1" applyProtection="1">
      <alignment horizontal="left"/>
    </xf>
    <xf numFmtId="0" fontId="7" fillId="4" borderId="14" xfId="0" applyFont="1" applyFill="1" applyBorder="1" applyAlignment="1" applyProtection="1">
      <alignment horizontal="left"/>
    </xf>
    <xf numFmtId="0" fontId="6" fillId="4" borderId="16" xfId="0" applyFont="1" applyFill="1" applyBorder="1" applyAlignment="1" applyProtection="1">
      <alignment horizontal="right"/>
    </xf>
    <xf numFmtId="0" fontId="6" fillId="4" borderId="17" xfId="0" applyFont="1" applyFill="1" applyBorder="1" applyAlignment="1" applyProtection="1">
      <alignment horizontal="left"/>
    </xf>
    <xf numFmtId="0" fontId="6" fillId="4" borderId="11" xfId="0" applyFont="1" applyFill="1" applyBorder="1" applyAlignment="1" applyProtection="1">
      <alignment horizontal="left"/>
    </xf>
    <xf numFmtId="0" fontId="6" fillId="4" borderId="11" xfId="0" applyNumberFormat="1" applyFont="1" applyFill="1" applyBorder="1" applyProtection="1"/>
    <xf numFmtId="0" fontId="8" fillId="4" borderId="13" xfId="0" applyFont="1" applyFill="1" applyBorder="1" applyAlignment="1" applyProtection="1">
      <alignment horizontal="right"/>
    </xf>
    <xf numFmtId="0" fontId="8" fillId="4" borderId="14" xfId="0" applyFont="1" applyFill="1" applyBorder="1" applyProtection="1"/>
    <xf numFmtId="0" fontId="8" fillId="5" borderId="6" xfId="0" applyFont="1" applyFill="1" applyBorder="1" applyProtection="1"/>
    <xf numFmtId="0" fontId="6" fillId="4" borderId="14" xfId="0" applyNumberFormat="1" applyFont="1" applyFill="1" applyBorder="1" applyProtection="1"/>
    <xf numFmtId="0" fontId="7" fillId="5" borderId="5" xfId="0" applyFont="1" applyFill="1" applyBorder="1" applyProtection="1"/>
    <xf numFmtId="0" fontId="7" fillId="4" borderId="13" xfId="0" applyFont="1" applyFill="1" applyBorder="1" applyProtection="1"/>
    <xf numFmtId="0" fontId="7" fillId="4" borderId="14" xfId="0" applyFont="1" applyFill="1" applyBorder="1" applyProtection="1"/>
    <xf numFmtId="0" fontId="7" fillId="5" borderId="6" xfId="0" applyFont="1" applyFill="1" applyBorder="1" applyProtection="1"/>
    <xf numFmtId="0" fontId="7" fillId="5" borderId="5" xfId="0" applyFont="1" applyFill="1" applyBorder="1" applyAlignment="1" applyProtection="1">
      <alignment horizontal="right"/>
    </xf>
    <xf numFmtId="0" fontId="7" fillId="4" borderId="13" xfId="0" applyFont="1" applyFill="1" applyBorder="1" applyAlignment="1" applyProtection="1">
      <alignment horizontal="right"/>
    </xf>
    <xf numFmtId="0" fontId="27" fillId="5" borderId="5" xfId="0" applyFont="1" applyFill="1" applyBorder="1" applyProtection="1"/>
    <xf numFmtId="0" fontId="12" fillId="4" borderId="11" xfId="0" applyFont="1" applyFill="1" applyBorder="1" applyAlignment="1" applyProtection="1">
      <alignment horizontal="center"/>
    </xf>
    <xf numFmtId="164" fontId="10" fillId="5" borderId="3" xfId="0" applyNumberFormat="1" applyFont="1" applyFill="1" applyBorder="1" applyAlignment="1" applyProtection="1">
      <alignment horizontal="center"/>
    </xf>
    <xf numFmtId="0" fontId="35" fillId="5" borderId="0" xfId="0" applyFont="1" applyFill="1" applyBorder="1" applyAlignment="1" applyProtection="1"/>
    <xf numFmtId="164" fontId="35" fillId="5" borderId="0" xfId="0" applyNumberFormat="1" applyFont="1" applyFill="1" applyBorder="1" applyAlignment="1" applyProtection="1">
      <alignment horizontal="center"/>
    </xf>
    <xf numFmtId="0" fontId="21" fillId="5" borderId="0" xfId="0" applyFont="1" applyFill="1" applyBorder="1" applyAlignment="1" applyProtection="1"/>
    <xf numFmtId="0" fontId="21" fillId="5" borderId="0" xfId="0" applyFont="1" applyFill="1" applyBorder="1" applyAlignment="1" applyProtection="1">
      <alignment horizontal="center"/>
    </xf>
    <xf numFmtId="164" fontId="21" fillId="5" borderId="0" xfId="0" applyNumberFormat="1" applyFont="1" applyFill="1" applyBorder="1" applyAlignment="1" applyProtection="1">
      <alignment horizontal="center"/>
    </xf>
    <xf numFmtId="0" fontId="12" fillId="5" borderId="8" xfId="0" applyFont="1" applyFill="1" applyBorder="1" applyAlignment="1" applyProtection="1">
      <alignment horizontal="center"/>
    </xf>
    <xf numFmtId="0" fontId="49" fillId="5" borderId="0" xfId="0" applyFont="1" applyFill="1" applyBorder="1" applyAlignment="1" applyProtection="1">
      <alignment horizontal="right"/>
    </xf>
    <xf numFmtId="0" fontId="6" fillId="5" borderId="0" xfId="0" applyFont="1" applyFill="1" applyBorder="1" applyAlignment="1" applyProtection="1">
      <alignment horizontal="right"/>
    </xf>
    <xf numFmtId="0" fontId="52" fillId="5" borderId="0" xfId="0" applyNumberFormat="1" applyFont="1" applyFill="1" applyBorder="1" applyAlignment="1" applyProtection="1">
      <alignment horizontal="right"/>
    </xf>
    <xf numFmtId="165" fontId="52" fillId="5" borderId="6" xfId="4" applyNumberFormat="1" applyFont="1" applyFill="1" applyBorder="1" applyProtection="1"/>
    <xf numFmtId="165" fontId="52" fillId="4" borderId="0" xfId="4" applyNumberFormat="1" applyFont="1" applyFill="1" applyBorder="1" applyProtection="1"/>
    <xf numFmtId="165" fontId="8" fillId="5" borderId="0" xfId="4" applyNumberFormat="1" applyFont="1" applyFill="1" applyBorder="1" applyProtection="1"/>
    <xf numFmtId="165" fontId="8" fillId="5" borderId="6" xfId="4" applyNumberFormat="1" applyFont="1" applyFill="1" applyBorder="1" applyProtection="1"/>
    <xf numFmtId="165" fontId="8" fillId="4" borderId="0" xfId="4" applyNumberFormat="1" applyFont="1" applyFill="1" applyBorder="1" applyProtection="1"/>
    <xf numFmtId="165" fontId="8" fillId="4" borderId="12" xfId="4" applyNumberFormat="1" applyFont="1" applyFill="1" applyBorder="1" applyProtection="1"/>
    <xf numFmtId="0" fontId="7" fillId="5" borderId="5" xfId="0" applyFont="1" applyFill="1" applyBorder="1" applyAlignment="1" applyProtection="1">
      <alignment horizontal="left"/>
    </xf>
    <xf numFmtId="0" fontId="7" fillId="4" borderId="13" xfId="0" applyFont="1" applyFill="1" applyBorder="1" applyAlignment="1" applyProtection="1">
      <alignment horizontal="left"/>
    </xf>
    <xf numFmtId="164" fontId="7" fillId="4" borderId="14" xfId="0" applyNumberFormat="1" applyFont="1" applyFill="1" applyBorder="1" applyAlignment="1" applyProtection="1">
      <alignment horizontal="left"/>
    </xf>
    <xf numFmtId="0"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right"/>
    </xf>
    <xf numFmtId="164" fontId="8" fillId="4" borderId="14" xfId="0" applyNumberFormat="1" applyFont="1" applyFill="1" applyBorder="1" applyAlignment="1" applyProtection="1">
      <alignment horizontal="left"/>
    </xf>
    <xf numFmtId="0" fontId="8" fillId="4" borderId="17" xfId="0" applyFont="1" applyFill="1" applyBorder="1" applyAlignment="1" applyProtection="1">
      <alignment horizontal="left"/>
    </xf>
    <xf numFmtId="0" fontId="8" fillId="4" borderId="17" xfId="0" applyFont="1" applyFill="1" applyBorder="1" applyProtection="1"/>
    <xf numFmtId="164" fontId="6" fillId="4" borderId="17" xfId="0" applyNumberFormat="1" applyFont="1" applyFill="1" applyBorder="1" applyAlignment="1" applyProtection="1">
      <alignment horizontal="left"/>
    </xf>
    <xf numFmtId="0" fontId="8" fillId="5" borderId="0" xfId="0" applyFont="1" applyFill="1" applyBorder="1" applyAlignment="1" applyProtection="1">
      <alignment horizontal="left"/>
    </xf>
    <xf numFmtId="0" fontId="8" fillId="5" borderId="0" xfId="0" applyFont="1" applyFill="1" applyBorder="1" applyProtection="1"/>
    <xf numFmtId="164" fontId="6" fillId="5" borderId="0" xfId="0" applyNumberFormat="1" applyFont="1" applyFill="1" applyBorder="1" applyAlignment="1" applyProtection="1">
      <alignment horizontal="left"/>
    </xf>
    <xf numFmtId="0" fontId="8" fillId="4" borderId="11" xfId="0" applyFont="1" applyFill="1" applyBorder="1" applyAlignment="1" applyProtection="1">
      <alignment horizontal="left"/>
    </xf>
    <xf numFmtId="0" fontId="8" fillId="4" borderId="11" xfId="0" applyFont="1" applyFill="1" applyBorder="1" applyProtection="1"/>
    <xf numFmtId="164" fontId="6" fillId="4" borderId="11" xfId="0" applyNumberFormat="1" applyFont="1" applyFill="1" applyBorder="1" applyAlignment="1" applyProtection="1">
      <alignment horizontal="left"/>
    </xf>
    <xf numFmtId="164"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left"/>
    </xf>
    <xf numFmtId="164" fontId="6" fillId="5" borderId="14" xfId="0" applyNumberFormat="1" applyFont="1" applyFill="1" applyBorder="1" applyAlignment="1" applyProtection="1">
      <alignment horizontal="left"/>
      <protection locked="0"/>
    </xf>
    <xf numFmtId="0" fontId="6" fillId="4" borderId="14" xfId="0" applyFont="1" applyFill="1" applyBorder="1" applyAlignment="1" applyProtection="1">
      <alignment horizontal="right"/>
    </xf>
    <xf numFmtId="0" fontId="49" fillId="4" borderId="14" xfId="0" applyFont="1" applyFill="1" applyBorder="1" applyAlignment="1" applyProtection="1">
      <alignment horizontal="right"/>
    </xf>
    <xf numFmtId="0" fontId="6" fillId="4" borderId="17" xfId="0" applyFont="1" applyFill="1" applyBorder="1" applyAlignment="1" applyProtection="1">
      <alignment horizontal="right"/>
    </xf>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horizontal="left"/>
    </xf>
    <xf numFmtId="0" fontId="7" fillId="5" borderId="8" xfId="0" applyFont="1" applyFill="1" applyBorder="1" applyAlignment="1" applyProtection="1">
      <alignment horizontal="right"/>
    </xf>
    <xf numFmtId="167" fontId="7" fillId="5" borderId="8" xfId="0" applyNumberFormat="1" applyFont="1" applyFill="1" applyBorder="1" applyProtection="1"/>
    <xf numFmtId="167" fontId="7" fillId="4" borderId="0" xfId="0" applyNumberFormat="1" applyFont="1" applyFill="1" applyBorder="1" applyProtection="1"/>
    <xf numFmtId="169" fontId="6" fillId="4" borderId="0" xfId="0" applyNumberFormat="1" applyFont="1" applyFill="1" applyBorder="1" applyProtection="1"/>
    <xf numFmtId="0" fontId="6" fillId="4" borderId="0" xfId="0" applyFont="1" applyFill="1" applyBorder="1" applyAlignment="1" applyProtection="1">
      <alignment horizontal="center"/>
    </xf>
    <xf numFmtId="164" fontId="6" fillId="4" borderId="0" xfId="0" applyNumberFormat="1" applyFont="1" applyFill="1" applyBorder="1" applyProtection="1"/>
    <xf numFmtId="0" fontId="6" fillId="5" borderId="3" xfId="0" applyFont="1" applyFill="1" applyBorder="1" applyAlignment="1" applyProtection="1">
      <alignment horizontal="center"/>
    </xf>
    <xf numFmtId="0" fontId="6" fillId="5" borderId="0" xfId="0" applyFont="1" applyFill="1" applyBorder="1" applyAlignment="1" applyProtection="1">
      <alignment horizontal="center"/>
    </xf>
    <xf numFmtId="0" fontId="8" fillId="5" borderId="5" xfId="0" applyFont="1" applyFill="1" applyBorder="1" applyProtection="1"/>
    <xf numFmtId="0" fontId="7" fillId="5" borderId="0" xfId="0" applyFont="1" applyFill="1" applyBorder="1" applyProtection="1"/>
    <xf numFmtId="0" fontId="7" fillId="4" borderId="10" xfId="0" applyFont="1" applyFill="1" applyBorder="1" applyProtection="1"/>
    <xf numFmtId="0" fontId="6" fillId="5" borderId="6" xfId="0" applyFont="1" applyFill="1" applyBorder="1" applyAlignment="1" applyProtection="1">
      <alignment horizontal="center"/>
    </xf>
    <xf numFmtId="164" fontId="6" fillId="4" borderId="0" xfId="0" applyNumberFormat="1" applyFont="1" applyFill="1" applyBorder="1" applyAlignment="1" applyProtection="1">
      <alignment horizontal="center"/>
    </xf>
    <xf numFmtId="0" fontId="6" fillId="4" borderId="15" xfId="0" applyFont="1" applyFill="1" applyBorder="1" applyAlignment="1" applyProtection="1">
      <alignment horizontal="center"/>
    </xf>
    <xf numFmtId="164" fontId="6" fillId="4" borderId="14" xfId="0" applyNumberFormat="1"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11" xfId="0" applyFont="1" applyFill="1" applyBorder="1" applyAlignment="1" applyProtection="1">
      <alignment horizontal="right"/>
    </xf>
    <xf numFmtId="0" fontId="6" fillId="4" borderId="14" xfId="0" applyFont="1" applyFill="1" applyBorder="1" applyAlignment="1" applyProtection="1">
      <alignment horizontal="center"/>
    </xf>
    <xf numFmtId="0" fontId="25" fillId="4" borderId="13" xfId="0" applyFont="1" applyFill="1" applyBorder="1" applyProtection="1"/>
    <xf numFmtId="0" fontId="7" fillId="4" borderId="17" xfId="0" applyFont="1" applyFill="1" applyBorder="1" applyAlignment="1" applyProtection="1">
      <alignment horizontal="left"/>
    </xf>
    <xf numFmtId="164" fontId="7" fillId="4" borderId="17" xfId="0" applyNumberFormat="1" applyFont="1" applyFill="1" applyBorder="1" applyAlignment="1" applyProtection="1">
      <alignment horizontal="center"/>
    </xf>
    <xf numFmtId="0" fontId="7" fillId="5" borderId="0" xfId="0" applyFont="1" applyFill="1" applyBorder="1" applyAlignment="1" applyProtection="1">
      <alignment horizontal="left"/>
    </xf>
    <xf numFmtId="164" fontId="7" fillId="5" borderId="0" xfId="0" applyNumberFormat="1" applyFont="1" applyFill="1" applyBorder="1" applyAlignment="1" applyProtection="1">
      <alignment horizontal="center"/>
    </xf>
    <xf numFmtId="0" fontId="7" fillId="5" borderId="8" xfId="0" applyFont="1" applyFill="1" applyBorder="1" applyProtection="1"/>
    <xf numFmtId="170" fontId="7" fillId="5" borderId="8" xfId="0" applyNumberFormat="1" applyFont="1" applyFill="1" applyBorder="1" applyAlignment="1" applyProtection="1">
      <alignment horizontal="center"/>
    </xf>
    <xf numFmtId="0" fontId="38" fillId="5" borderId="5" xfId="0" applyFont="1" applyFill="1" applyBorder="1" applyProtection="1"/>
    <xf numFmtId="0" fontId="30" fillId="5" borderId="0" xfId="0" applyFont="1" applyFill="1" applyBorder="1" applyAlignment="1" applyProtection="1">
      <alignment horizontal="center"/>
    </xf>
    <xf numFmtId="0" fontId="30" fillId="5" borderId="0" xfId="0" applyFont="1" applyFill="1" applyBorder="1" applyAlignment="1" applyProtection="1">
      <alignment horizontal="left"/>
    </xf>
    <xf numFmtId="0" fontId="30" fillId="5" borderId="6" xfId="0" applyFont="1" applyFill="1" applyBorder="1" applyProtection="1"/>
    <xf numFmtId="0" fontId="6" fillId="4" borderId="11" xfId="0" applyFont="1" applyFill="1" applyBorder="1" applyAlignment="1" applyProtection="1">
      <alignment horizontal="center"/>
    </xf>
    <xf numFmtId="0" fontId="7" fillId="4" borderId="14" xfId="0" applyFont="1" applyFill="1" applyBorder="1" applyAlignment="1" applyProtection="1">
      <alignment horizontal="center"/>
    </xf>
    <xf numFmtId="0" fontId="49" fillId="4" borderId="17" xfId="0" applyFont="1" applyFill="1" applyBorder="1" applyProtection="1"/>
    <xf numFmtId="0" fontId="62" fillId="4" borderId="14" xfId="0" applyFont="1" applyFill="1" applyBorder="1" applyProtection="1"/>
    <xf numFmtId="0" fontId="6" fillId="4" borderId="14" xfId="0" quotePrefix="1" applyFont="1" applyFill="1" applyBorder="1" applyProtection="1"/>
    <xf numFmtId="0" fontId="57" fillId="4" borderId="14" xfId="0" applyFont="1" applyFill="1" applyBorder="1" applyAlignment="1" applyProtection="1">
      <alignment horizontal="center"/>
    </xf>
    <xf numFmtId="0" fontId="56" fillId="4" borderId="14" xfId="0" applyFont="1" applyFill="1" applyBorder="1" applyAlignment="1" applyProtection="1">
      <alignment horizontal="center"/>
    </xf>
    <xf numFmtId="164" fontId="6" fillId="4" borderId="17" xfId="0" applyNumberFormat="1" applyFont="1" applyFill="1" applyBorder="1" applyAlignment="1" applyProtection="1">
      <alignment horizontal="center"/>
    </xf>
    <xf numFmtId="164" fontId="6" fillId="5" borderId="0" xfId="0" applyNumberFormat="1" applyFont="1" applyFill="1" applyBorder="1" applyAlignment="1" applyProtection="1">
      <alignment horizontal="center"/>
    </xf>
    <xf numFmtId="0" fontId="6" fillId="5" borderId="8" xfId="0" applyFont="1" applyFill="1" applyBorder="1" applyAlignment="1" applyProtection="1">
      <alignment horizontal="center"/>
    </xf>
    <xf numFmtId="164" fontId="6" fillId="5" borderId="8" xfId="0" applyNumberFormat="1" applyFont="1" applyFill="1" applyBorder="1" applyAlignment="1" applyProtection="1">
      <alignment horizontal="center"/>
    </xf>
    <xf numFmtId="0" fontId="10" fillId="5" borderId="2" xfId="0" applyFont="1" applyFill="1" applyBorder="1"/>
    <xf numFmtId="0" fontId="10" fillId="5" borderId="3" xfId="0" applyFont="1" applyFill="1" applyBorder="1"/>
    <xf numFmtId="0" fontId="10" fillId="5" borderId="4" xfId="0" applyFont="1" applyFill="1" applyBorder="1"/>
    <xf numFmtId="0" fontId="10" fillId="5" borderId="0" xfId="0" applyFont="1" applyFill="1" applyBorder="1"/>
    <xf numFmtId="0" fontId="10" fillId="5" borderId="5" xfId="0" applyFont="1" applyFill="1" applyBorder="1"/>
    <xf numFmtId="0" fontId="10" fillId="5" borderId="6" xfId="0" applyFont="1" applyFill="1" applyBorder="1"/>
    <xf numFmtId="0" fontId="26" fillId="5" borderId="5" xfId="0" applyFont="1" applyFill="1" applyBorder="1"/>
    <xf numFmtId="0" fontId="25" fillId="5" borderId="0" xfId="0" applyFont="1" applyFill="1" applyBorder="1"/>
    <xf numFmtId="0" fontId="25" fillId="5" borderId="6" xfId="0" applyFont="1" applyFill="1" applyBorder="1"/>
    <xf numFmtId="0" fontId="21" fillId="5" borderId="5" xfId="0" applyFont="1" applyFill="1" applyBorder="1"/>
    <xf numFmtId="0" fontId="21" fillId="5" borderId="0" xfId="0" applyFont="1" applyFill="1" applyBorder="1"/>
    <xf numFmtId="0" fontId="10" fillId="5" borderId="0" xfId="0" applyFont="1" applyFill="1" applyBorder="1" applyAlignment="1" applyProtection="1">
      <alignment horizontal="right"/>
    </xf>
    <xf numFmtId="165" fontId="19" fillId="5" borderId="6" xfId="4" applyNumberFormat="1" applyFont="1" applyFill="1" applyBorder="1" applyProtection="1"/>
    <xf numFmtId="165" fontId="33" fillId="5" borderId="6" xfId="4" applyNumberFormat="1" applyFont="1" applyFill="1" applyBorder="1" applyProtection="1"/>
    <xf numFmtId="169" fontId="10" fillId="5" borderId="0" xfId="0" applyNumberFormat="1" applyFont="1" applyFill="1" applyBorder="1" applyProtection="1"/>
    <xf numFmtId="169" fontId="10" fillId="5" borderId="8" xfId="0" applyNumberFormat="1" applyFont="1" applyFill="1" applyBorder="1" applyProtection="1"/>
    <xf numFmtId="177" fontId="6" fillId="4" borderId="14" xfId="0" applyNumberFormat="1" applyFont="1" applyFill="1" applyBorder="1" applyAlignment="1" applyProtection="1">
      <alignment horizontal="left"/>
    </xf>
    <xf numFmtId="169" fontId="6" fillId="4" borderId="17" xfId="0" applyNumberFormat="1" applyFont="1" applyFill="1" applyBorder="1" applyProtection="1"/>
    <xf numFmtId="0" fontId="10" fillId="4" borderId="14" xfId="0" applyFont="1" applyFill="1" applyBorder="1" applyAlignment="1" applyProtection="1"/>
    <xf numFmtId="1" fontId="10" fillId="4" borderId="14" xfId="0" applyNumberFormat="1" applyFont="1" applyFill="1" applyBorder="1" applyAlignment="1" applyProtection="1">
      <alignment horizontal="center"/>
    </xf>
    <xf numFmtId="167" fontId="25" fillId="5" borderId="0" xfId="0" applyNumberFormat="1" applyFont="1" applyFill="1" applyBorder="1" applyProtection="1"/>
    <xf numFmtId="0" fontId="40" fillId="5" borderId="0" xfId="0" applyFont="1" applyFill="1" applyBorder="1" applyProtection="1"/>
    <xf numFmtId="0" fontId="34" fillId="5" borderId="0" xfId="0" applyNumberFormat="1" applyFont="1" applyFill="1" applyBorder="1" applyProtection="1"/>
    <xf numFmtId="0" fontId="41" fillId="5" borderId="6" xfId="0" quotePrefix="1" applyNumberFormat="1" applyFont="1" applyFill="1" applyBorder="1" applyAlignment="1" applyProtection="1">
      <alignment horizontal="center"/>
    </xf>
    <xf numFmtId="167" fontId="12" fillId="5" borderId="0" xfId="0" quotePrefix="1" applyNumberFormat="1" applyFont="1" applyFill="1" applyBorder="1" applyAlignment="1" applyProtection="1">
      <alignment horizontal="right"/>
    </xf>
    <xf numFmtId="164" fontId="12"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164" fontId="42" fillId="5" borderId="6" xfId="4" applyNumberFormat="1" applyFont="1" applyFill="1" applyBorder="1" applyAlignment="1" applyProtection="1">
      <alignment horizontal="left"/>
    </xf>
    <xf numFmtId="0" fontId="11" fillId="5" borderId="0" xfId="0" applyFont="1" applyFill="1" applyBorder="1" applyAlignment="1" applyProtection="1">
      <alignment horizontal="right"/>
    </xf>
    <xf numFmtId="0" fontId="19" fillId="5" borderId="7" xfId="0" applyFont="1" applyFill="1" applyBorder="1" applyProtection="1"/>
    <xf numFmtId="0" fontId="19" fillId="5" borderId="8" xfId="0" applyFont="1" applyFill="1" applyBorder="1" applyProtection="1"/>
    <xf numFmtId="164" fontId="19" fillId="5" borderId="9" xfId="4" applyNumberFormat="1" applyFont="1" applyFill="1" applyBorder="1" applyAlignment="1" applyProtection="1">
      <alignment horizontal="left"/>
    </xf>
    <xf numFmtId="0" fontId="25" fillId="5" borderId="2" xfId="0" applyFont="1" applyFill="1" applyBorder="1" applyProtection="1"/>
    <xf numFmtId="0" fontId="25" fillId="5" borderId="3" xfId="0" applyFont="1" applyFill="1" applyBorder="1" applyProtection="1"/>
    <xf numFmtId="0" fontId="25" fillId="5" borderId="4" xfId="0" applyFont="1" applyFill="1" applyBorder="1" applyProtection="1"/>
    <xf numFmtId="0" fontId="34" fillId="5" borderId="6" xfId="0" quotePrefix="1" applyNumberFormat="1" applyFont="1" applyFill="1" applyBorder="1" applyAlignment="1" applyProtection="1">
      <alignment horizontal="center"/>
    </xf>
    <xf numFmtId="0" fontId="12" fillId="5" borderId="6" xfId="0" quotePrefix="1" applyNumberFormat="1" applyFont="1" applyFill="1" applyBorder="1" applyAlignment="1" applyProtection="1">
      <alignment horizontal="center"/>
    </xf>
    <xf numFmtId="0" fontId="12" fillId="5" borderId="6" xfId="0" quotePrefix="1" applyFont="1" applyFill="1" applyBorder="1" applyAlignment="1" applyProtection="1">
      <alignment horizontal="center"/>
    </xf>
    <xf numFmtId="0" fontId="11" fillId="5" borderId="6" xfId="0" quotePrefix="1" applyFont="1" applyFill="1" applyBorder="1" applyAlignment="1" applyProtection="1">
      <alignment horizontal="center"/>
    </xf>
    <xf numFmtId="1" fontId="19" fillId="5" borderId="6" xfId="4" applyNumberFormat="1" applyFont="1" applyFill="1" applyBorder="1" applyAlignment="1" applyProtection="1">
      <alignment horizontal="right"/>
    </xf>
    <xf numFmtId="165" fontId="10" fillId="5" borderId="6" xfId="4" applyNumberFormat="1" applyFont="1" applyFill="1" applyBorder="1" applyProtection="1"/>
    <xf numFmtId="165" fontId="10" fillId="5" borderId="6" xfId="4" applyNumberFormat="1" applyFont="1" applyFill="1" applyBorder="1" applyAlignment="1" applyProtection="1">
      <alignment horizontal="left"/>
    </xf>
    <xf numFmtId="165" fontId="11" fillId="5" borderId="6" xfId="4" applyNumberFormat="1" applyFont="1" applyFill="1" applyBorder="1" applyProtection="1"/>
    <xf numFmtId="167" fontId="10" fillId="5" borderId="0" xfId="4" applyNumberFormat="1" applyFont="1" applyFill="1" applyBorder="1" applyProtection="1"/>
    <xf numFmtId="167" fontId="13" fillId="5" borderId="0" xfId="4" applyNumberFormat="1" applyFont="1" applyFill="1" applyBorder="1" applyProtection="1"/>
    <xf numFmtId="0" fontId="10" fillId="4" borderId="11" xfId="0" applyFont="1" applyFill="1" applyBorder="1" applyAlignment="1" applyProtection="1">
      <alignment horizontal="right"/>
    </xf>
    <xf numFmtId="167" fontId="12" fillId="4" borderId="11" xfId="0" quotePrefix="1" applyNumberFormat="1" applyFont="1" applyFill="1" applyBorder="1" applyAlignment="1" applyProtection="1">
      <alignment horizontal="right"/>
    </xf>
    <xf numFmtId="167" fontId="10" fillId="4" borderId="14" xfId="0" applyNumberFormat="1" applyFont="1" applyFill="1" applyBorder="1" applyProtection="1"/>
    <xf numFmtId="167" fontId="12" fillId="4" borderId="14" xfId="0" quotePrefix="1" applyNumberFormat="1" applyFont="1" applyFill="1" applyBorder="1" applyAlignment="1" applyProtection="1">
      <alignment horizontal="right"/>
    </xf>
    <xf numFmtId="167" fontId="10" fillId="4" borderId="14" xfId="4" applyNumberFormat="1" applyFont="1" applyFill="1" applyBorder="1" applyAlignment="1" applyProtection="1">
      <alignment horizontal="left"/>
    </xf>
    <xf numFmtId="164" fontId="12" fillId="4" borderId="14" xfId="4" applyNumberFormat="1" applyFont="1" applyFill="1" applyBorder="1" applyAlignment="1" applyProtection="1">
      <alignment horizontal="left"/>
    </xf>
    <xf numFmtId="0" fontId="42" fillId="4" borderId="13" xfId="0" applyFont="1" applyFill="1" applyBorder="1" applyProtection="1"/>
    <xf numFmtId="0" fontId="42" fillId="4" borderId="14" xfId="0" applyFont="1" applyFill="1" applyBorder="1" applyProtection="1"/>
    <xf numFmtId="0" fontId="11" fillId="4" borderId="16" xfId="0" applyFont="1" applyFill="1" applyBorder="1" applyProtection="1"/>
    <xf numFmtId="0" fontId="19" fillId="4" borderId="11" xfId="0" applyFont="1" applyFill="1" applyBorder="1" applyAlignment="1" applyProtection="1">
      <alignment horizontal="right"/>
    </xf>
    <xf numFmtId="0" fontId="12" fillId="4" borderId="11" xfId="0" applyFont="1" applyFill="1" applyBorder="1" applyProtection="1"/>
    <xf numFmtId="167" fontId="10" fillId="4" borderId="14" xfId="4" applyNumberFormat="1" applyFont="1" applyFill="1" applyBorder="1" applyProtection="1"/>
    <xf numFmtId="49" fontId="10" fillId="4" borderId="14" xfId="0" applyNumberFormat="1" applyFont="1" applyFill="1" applyBorder="1" applyProtection="1"/>
    <xf numFmtId="1" fontId="11" fillId="4" borderId="14" xfId="0" applyNumberFormat="1" applyFont="1" applyFill="1" applyBorder="1" applyProtection="1"/>
    <xf numFmtId="1" fontId="10" fillId="4" borderId="14" xfId="0" applyNumberFormat="1" applyFont="1" applyFill="1" applyBorder="1" applyProtection="1"/>
    <xf numFmtId="1" fontId="11" fillId="4" borderId="14" xfId="0" applyNumberFormat="1" applyFont="1" applyFill="1" applyBorder="1" applyAlignment="1" applyProtection="1">
      <alignment horizontal="left"/>
    </xf>
    <xf numFmtId="49" fontId="11" fillId="4" borderId="14" xfId="0" applyNumberFormat="1" applyFont="1" applyFill="1" applyBorder="1" applyProtection="1"/>
    <xf numFmtId="0" fontId="11" fillId="4" borderId="17" xfId="0" applyFont="1" applyFill="1" applyBorder="1" applyAlignment="1" applyProtection="1">
      <alignment horizontal="right"/>
    </xf>
    <xf numFmtId="167" fontId="13" fillId="4" borderId="17" xfId="4" applyNumberFormat="1" applyFont="1" applyFill="1" applyBorder="1" applyProtection="1"/>
    <xf numFmtId="0" fontId="11" fillId="5" borderId="2" xfId="0" applyFont="1" applyFill="1" applyBorder="1" applyProtection="1"/>
    <xf numFmtId="0" fontId="11" fillId="5" borderId="3" xfId="0" applyFont="1" applyFill="1" applyBorder="1" applyAlignment="1" applyProtection="1">
      <alignment horizontal="left"/>
    </xf>
    <xf numFmtId="0" fontId="11" fillId="5" borderId="3" xfId="0" applyFont="1" applyFill="1" applyBorder="1" applyAlignment="1" applyProtection="1">
      <alignment horizontal="center"/>
    </xf>
    <xf numFmtId="0" fontId="11" fillId="5" borderId="3" xfId="0" applyNumberFormat="1" applyFont="1" applyFill="1" applyBorder="1" applyAlignment="1" applyProtection="1">
      <alignment horizontal="center"/>
    </xf>
    <xf numFmtId="171" fontId="11" fillId="5" borderId="3" xfId="0" applyNumberFormat="1" applyFont="1" applyFill="1" applyBorder="1" applyAlignment="1" applyProtection="1">
      <alignment horizontal="center"/>
    </xf>
    <xf numFmtId="164" fontId="11" fillId="5" borderId="3" xfId="0" applyNumberFormat="1" applyFont="1" applyFill="1" applyBorder="1" applyProtection="1"/>
    <xf numFmtId="0" fontId="11" fillId="5" borderId="4" xfId="0" applyFont="1" applyFill="1" applyBorder="1" applyProtection="1"/>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171" fontId="11" fillId="5" borderId="0"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7" fillId="5" borderId="5" xfId="0" applyFont="1" applyFill="1" applyBorder="1" applyProtection="1"/>
    <xf numFmtId="0" fontId="17" fillId="5" borderId="0" xfId="0" applyNumberFormat="1" applyFont="1" applyFill="1" applyBorder="1" applyAlignment="1" applyProtection="1">
      <alignment horizontal="center"/>
    </xf>
    <xf numFmtId="171" fontId="17" fillId="5" borderId="0" xfId="0" applyNumberFormat="1" applyFont="1" applyFill="1" applyBorder="1" applyAlignment="1" applyProtection="1">
      <alignment horizontal="center"/>
    </xf>
    <xf numFmtId="164" fontId="17" fillId="5" borderId="0" xfId="0" applyNumberFormat="1" applyFont="1" applyFill="1" applyBorder="1" applyProtection="1"/>
    <xf numFmtId="167" fontId="17" fillId="5" borderId="0" xfId="0" applyNumberFormat="1" applyFont="1" applyFill="1" applyBorder="1" applyProtection="1"/>
    <xf numFmtId="0" fontId="17" fillId="5" borderId="6" xfId="0" applyFont="1" applyFill="1" applyBorder="1" applyProtection="1"/>
    <xf numFmtId="0" fontId="18" fillId="5" borderId="0" xfId="0" applyFont="1" applyFill="1" applyBorder="1" applyAlignment="1" applyProtection="1">
      <alignment horizontal="left" indent="1"/>
    </xf>
    <xf numFmtId="0" fontId="11" fillId="5" borderId="7" xfId="0" applyFont="1" applyFill="1" applyBorder="1" applyProtection="1"/>
    <xf numFmtId="0" fontId="11" fillId="5" borderId="8" xfId="0" applyFont="1" applyFill="1" applyBorder="1" applyAlignment="1" applyProtection="1">
      <alignment horizontal="left"/>
    </xf>
    <xf numFmtId="0" fontId="11" fillId="5" borderId="8" xfId="0" applyFont="1" applyFill="1" applyBorder="1" applyAlignment="1" applyProtection="1">
      <alignment horizontal="center"/>
    </xf>
    <xf numFmtId="14" fontId="11" fillId="5" borderId="8" xfId="0" applyNumberFormat="1" applyFont="1" applyFill="1" applyBorder="1" applyAlignment="1" applyProtection="1">
      <alignment horizontal="center"/>
    </xf>
    <xf numFmtId="0" fontId="11" fillId="5" borderId="8" xfId="0" applyNumberFormat="1" applyFont="1" applyFill="1" applyBorder="1" applyAlignment="1" applyProtection="1">
      <alignment horizontal="center"/>
    </xf>
    <xf numFmtId="171" fontId="11" fillId="5" borderId="8" xfId="4" applyNumberFormat="1" applyFont="1" applyFill="1" applyBorder="1" applyAlignment="1" applyProtection="1">
      <alignment horizontal="center"/>
    </xf>
    <xf numFmtId="171" fontId="11" fillId="5" borderId="8" xfId="0" applyNumberFormat="1" applyFont="1" applyFill="1" applyBorder="1" applyAlignment="1" applyProtection="1">
      <alignment horizontal="center"/>
    </xf>
    <xf numFmtId="167" fontId="11" fillId="5" borderId="8" xfId="4" applyNumberFormat="1" applyFont="1" applyFill="1" applyBorder="1" applyProtection="1"/>
    <xf numFmtId="164" fontId="11" fillId="5" borderId="8" xfId="0" applyNumberFormat="1" applyFont="1" applyFill="1" applyBorder="1" applyAlignment="1" applyProtection="1">
      <alignment horizontal="center"/>
    </xf>
    <xf numFmtId="0" fontId="11" fillId="5" borderId="9" xfId="0" applyFont="1" applyFill="1" applyBorder="1" applyProtection="1"/>
    <xf numFmtId="14" fontId="10" fillId="5" borderId="3" xfId="0" applyNumberFormat="1" applyFont="1" applyFill="1" applyBorder="1" applyAlignment="1" applyProtection="1">
      <alignment horizontal="center"/>
    </xf>
    <xf numFmtId="171" fontId="10" fillId="5" borderId="3" xfId="4" applyNumberFormat="1" applyFont="1" applyFill="1" applyBorder="1" applyAlignment="1" applyProtection="1">
      <alignment horizontal="center"/>
    </xf>
    <xf numFmtId="167" fontId="10" fillId="5" borderId="3" xfId="4" applyNumberFormat="1" applyFont="1" applyFill="1" applyBorder="1" applyProtection="1"/>
    <xf numFmtId="14" fontId="10" fillId="5" borderId="0" xfId="0" applyNumberFormat="1" applyFont="1" applyFill="1" applyBorder="1" applyAlignment="1" applyProtection="1">
      <alignment horizontal="center"/>
    </xf>
    <xf numFmtId="171" fontId="10" fillId="5" borderId="0" xfId="4" applyNumberFormat="1" applyFont="1" applyFill="1" applyBorder="1" applyAlignment="1" applyProtection="1">
      <alignment horizontal="center"/>
    </xf>
    <xf numFmtId="14" fontId="10" fillId="5" borderId="8" xfId="0" applyNumberFormat="1"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7" xfId="0" applyNumberFormat="1" applyFont="1" applyFill="1" applyBorder="1" applyAlignment="1" applyProtection="1">
      <alignment horizontal="center"/>
    </xf>
    <xf numFmtId="171" fontId="11" fillId="4" borderId="17" xfId="0" applyNumberFormat="1" applyFont="1" applyFill="1" applyBorder="1" applyAlignment="1" applyProtection="1">
      <alignment horizontal="center"/>
    </xf>
    <xf numFmtId="0" fontId="11" fillId="4" borderId="18" xfId="0" applyNumberFormat="1" applyFont="1" applyFill="1" applyBorder="1" applyAlignment="1" applyProtection="1">
      <alignment horizontal="center"/>
    </xf>
    <xf numFmtId="167" fontId="49" fillId="4" borderId="0" xfId="4" applyNumberFormat="1" applyFont="1" applyFill="1" applyBorder="1" applyProtection="1"/>
    <xf numFmtId="0" fontId="64" fillId="4" borderId="0" xfId="0" applyFont="1" applyFill="1" applyBorder="1" applyProtection="1"/>
    <xf numFmtId="171" fontId="64" fillId="4" borderId="0" xfId="0" applyNumberFormat="1" applyFont="1" applyFill="1" applyBorder="1" applyAlignment="1" applyProtection="1">
      <alignment horizontal="center"/>
    </xf>
    <xf numFmtId="0" fontId="64" fillId="4" borderId="0" xfId="0" applyNumberFormat="1" applyFont="1" applyFill="1" applyBorder="1" applyAlignment="1" applyProtection="1">
      <alignment horizontal="center"/>
    </xf>
    <xf numFmtId="171" fontId="64" fillId="4" borderId="0" xfId="0" applyNumberFormat="1" applyFont="1" applyFill="1" applyBorder="1" applyProtection="1"/>
    <xf numFmtId="1" fontId="64" fillId="4" borderId="0" xfId="0" applyNumberFormat="1" applyFont="1" applyFill="1" applyBorder="1" applyProtection="1"/>
    <xf numFmtId="0" fontId="20" fillId="5" borderId="0" xfId="0" applyFont="1" applyFill="1" applyBorder="1" applyAlignment="1" applyProtection="1">
      <alignment horizontal="left"/>
    </xf>
    <xf numFmtId="0" fontId="25" fillId="4" borderId="10" xfId="0" applyFont="1" applyFill="1" applyBorder="1" applyProtection="1"/>
    <xf numFmtId="173" fontId="10" fillId="4" borderId="14" xfId="0" applyNumberFormat="1"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167" fontId="6" fillId="5" borderId="3" xfId="4" applyNumberFormat="1" applyFont="1" applyFill="1" applyBorder="1" applyProtection="1"/>
    <xf numFmtId="167" fontId="6" fillId="5" borderId="0" xfId="4" applyNumberFormat="1" applyFont="1" applyFill="1" applyBorder="1" applyProtection="1"/>
    <xf numFmtId="167" fontId="44" fillId="5" borderId="3" xfId="4" applyNumberFormat="1" applyFont="1" applyFill="1" applyBorder="1" applyProtection="1"/>
    <xf numFmtId="167" fontId="44" fillId="5" borderId="0" xfId="4" applyNumberFormat="1" applyFont="1" applyFill="1" applyBorder="1" applyProtection="1"/>
    <xf numFmtId="167" fontId="45" fillId="5" borderId="8" xfId="0" applyNumberFormat="1" applyFont="1" applyFill="1" applyBorder="1" applyProtection="1"/>
    <xf numFmtId="167" fontId="45" fillId="4" borderId="0" xfId="0" applyNumberFormat="1" applyFont="1" applyFill="1" applyBorder="1" applyProtection="1"/>
    <xf numFmtId="164" fontId="45" fillId="4" borderId="0" xfId="0" applyNumberFormat="1" applyFont="1" applyFill="1" applyBorder="1" applyAlignment="1" applyProtection="1">
      <alignment horizontal="right"/>
    </xf>
    <xf numFmtId="173" fontId="6" fillId="4" borderId="0" xfId="0" applyNumberFormat="1" applyFont="1" applyFill="1" applyBorder="1" applyAlignment="1" applyProtection="1">
      <alignment horizontal="center"/>
    </xf>
    <xf numFmtId="0" fontId="6" fillId="4" borderId="0" xfId="0" applyNumberFormat="1" applyFont="1" applyFill="1" applyBorder="1" applyAlignment="1" applyProtection="1">
      <alignment horizontal="center"/>
    </xf>
    <xf numFmtId="171" fontId="6" fillId="4" borderId="0" xfId="0" applyNumberFormat="1" applyFont="1" applyFill="1" applyBorder="1" applyAlignment="1" applyProtection="1">
      <alignment horizontal="center"/>
    </xf>
    <xf numFmtId="171" fontId="6" fillId="4" borderId="0" xfId="0" applyNumberFormat="1" applyFont="1" applyFill="1" applyBorder="1" applyProtection="1"/>
    <xf numFmtId="167" fontId="6" fillId="4" borderId="0" xfId="0" applyNumberFormat="1" applyFont="1" applyFill="1" applyBorder="1" applyProtection="1"/>
    <xf numFmtId="0" fontId="6" fillId="5" borderId="3" xfId="0" applyFont="1" applyFill="1" applyBorder="1" applyAlignment="1" applyProtection="1">
      <alignment horizontal="left"/>
    </xf>
    <xf numFmtId="173" fontId="6" fillId="5" borderId="3" xfId="0" applyNumberFormat="1" applyFont="1" applyFill="1" applyBorder="1" applyAlignment="1" applyProtection="1">
      <alignment horizontal="center"/>
    </xf>
    <xf numFmtId="0" fontId="6" fillId="5" borderId="3" xfId="0" applyNumberFormat="1" applyFont="1" applyFill="1" applyBorder="1" applyAlignment="1" applyProtection="1">
      <alignment horizontal="center"/>
    </xf>
    <xf numFmtId="171" fontId="6" fillId="5" borderId="3" xfId="0" applyNumberFormat="1" applyFont="1" applyFill="1" applyBorder="1" applyAlignment="1" applyProtection="1">
      <alignment horizontal="center"/>
    </xf>
    <xf numFmtId="164" fontId="6" fillId="5" borderId="3" xfId="0" applyNumberFormat="1" applyFont="1" applyFill="1" applyBorder="1" applyProtection="1"/>
    <xf numFmtId="0" fontId="6" fillId="5" borderId="0" xfId="0" applyFont="1" applyFill="1" applyBorder="1" applyAlignment="1" applyProtection="1">
      <alignment horizontal="left"/>
    </xf>
    <xf numFmtId="173" fontId="6" fillId="5" borderId="0" xfId="0" applyNumberFormat="1" applyFont="1" applyFill="1" applyBorder="1" applyAlignment="1" applyProtection="1">
      <alignment horizontal="center"/>
    </xf>
    <xf numFmtId="0" fontId="6" fillId="5" borderId="0" xfId="0" applyNumberFormat="1" applyFont="1" applyFill="1" applyBorder="1" applyAlignment="1" applyProtection="1">
      <alignment horizontal="center"/>
    </xf>
    <xf numFmtId="171" fontId="6" fillId="5" borderId="0" xfId="0" applyNumberFormat="1" applyFont="1" applyFill="1" applyBorder="1" applyAlignment="1" applyProtection="1">
      <alignment horizontal="center"/>
    </xf>
    <xf numFmtId="164" fontId="6" fillId="5" borderId="0" xfId="0" applyNumberFormat="1" applyFont="1" applyFill="1" applyBorder="1" applyProtection="1"/>
    <xf numFmtId="1" fontId="6" fillId="4" borderId="0" xfId="0" applyNumberFormat="1" applyFont="1" applyFill="1" applyBorder="1" applyProtection="1"/>
    <xf numFmtId="172" fontId="7" fillId="5" borderId="0" xfId="0" applyNumberFormat="1" applyFont="1" applyFill="1" applyBorder="1" applyAlignment="1" applyProtection="1">
      <alignment horizontal="left"/>
    </xf>
    <xf numFmtId="167" fontId="6" fillId="4" borderId="0" xfId="4" applyNumberFormat="1" applyFont="1" applyFill="1" applyBorder="1" applyProtection="1"/>
    <xf numFmtId="173" fontId="6" fillId="5" borderId="14" xfId="0" applyNumberFormat="1" applyFont="1" applyFill="1" applyBorder="1" applyAlignment="1" applyProtection="1">
      <alignment horizontal="center"/>
      <protection locked="0"/>
    </xf>
    <xf numFmtId="171" fontId="6" fillId="5" borderId="14" xfId="4" applyNumberFormat="1" applyFont="1" applyFill="1" applyBorder="1" applyAlignment="1" applyProtection="1">
      <alignment horizontal="center"/>
      <protection locked="0"/>
    </xf>
    <xf numFmtId="167" fontId="6" fillId="5" borderId="6" xfId="4" applyNumberFormat="1" applyFont="1" applyFill="1" applyBorder="1" applyProtection="1"/>
    <xf numFmtId="0" fontId="7" fillId="4" borderId="17" xfId="0" applyFont="1" applyFill="1" applyBorder="1" applyAlignment="1" applyProtection="1">
      <alignment horizontal="center"/>
    </xf>
    <xf numFmtId="173" fontId="7" fillId="4" borderId="17" xfId="0" applyNumberFormat="1" applyFont="1" applyFill="1" applyBorder="1" applyAlignment="1" applyProtection="1">
      <alignment horizontal="center"/>
    </xf>
    <xf numFmtId="0" fontId="7" fillId="4" borderId="17" xfId="0" applyNumberFormat="1" applyFont="1" applyFill="1" applyBorder="1" applyAlignment="1" applyProtection="1">
      <alignment horizontal="center"/>
    </xf>
    <xf numFmtId="164" fontId="7" fillId="4" borderId="0" xfId="0" applyNumberFormat="1" applyFont="1" applyFill="1" applyBorder="1" applyProtection="1"/>
    <xf numFmtId="0" fontId="6" fillId="5" borderId="8" xfId="0" applyFont="1" applyFill="1" applyBorder="1" applyAlignment="1" applyProtection="1">
      <alignment horizontal="left"/>
    </xf>
    <xf numFmtId="173" fontId="6" fillId="5" borderId="8" xfId="0" applyNumberFormat="1" applyFont="1" applyFill="1" applyBorder="1" applyAlignment="1" applyProtection="1">
      <alignment horizontal="center"/>
    </xf>
    <xf numFmtId="0" fontId="6" fillId="5" borderId="8" xfId="0" applyNumberFormat="1" applyFont="1" applyFill="1" applyBorder="1" applyAlignment="1" applyProtection="1">
      <alignment horizontal="center"/>
    </xf>
    <xf numFmtId="171" fontId="6" fillId="5" borderId="8" xfId="4" applyNumberFormat="1" applyFont="1" applyFill="1" applyBorder="1" applyAlignment="1" applyProtection="1">
      <alignment horizontal="center"/>
    </xf>
    <xf numFmtId="171" fontId="6" fillId="5" borderId="8" xfId="0" applyNumberFormat="1" applyFont="1" applyFill="1" applyBorder="1" applyAlignment="1" applyProtection="1">
      <alignment horizontal="center"/>
    </xf>
    <xf numFmtId="171" fontId="6" fillId="5" borderId="3" xfId="4" applyNumberFormat="1" applyFont="1" applyFill="1" applyBorder="1" applyAlignment="1" applyProtection="1">
      <alignment horizontal="center"/>
    </xf>
    <xf numFmtId="164" fontId="6" fillId="5" borderId="3" xfId="0" applyNumberFormat="1" applyFont="1" applyFill="1" applyBorder="1" applyAlignment="1" applyProtection="1">
      <alignment horizontal="center"/>
    </xf>
    <xf numFmtId="171" fontId="6" fillId="5" borderId="0" xfId="4" applyNumberFormat="1" applyFont="1" applyFill="1" applyBorder="1" applyAlignment="1" applyProtection="1">
      <alignment horizontal="center"/>
    </xf>
    <xf numFmtId="167" fontId="6" fillId="4" borderId="0" xfId="0" applyNumberFormat="1" applyFont="1" applyFill="1" applyBorder="1" applyAlignment="1" applyProtection="1">
      <alignment horizontal="center"/>
    </xf>
    <xf numFmtId="167" fontId="8" fillId="4" borderId="0" xfId="0" applyNumberFormat="1" applyFont="1" applyFill="1" applyBorder="1" applyAlignment="1" applyProtection="1">
      <alignment horizontal="center"/>
    </xf>
    <xf numFmtId="0" fontId="7" fillId="4" borderId="0" xfId="0" quotePrefix="1" applyFont="1" applyFill="1" applyBorder="1" applyAlignment="1" applyProtection="1">
      <alignment horizontal="right"/>
    </xf>
    <xf numFmtId="164" fontId="7" fillId="5" borderId="8" xfId="0" applyNumberFormat="1" applyFont="1" applyFill="1" applyBorder="1" applyProtection="1"/>
    <xf numFmtId="172" fontId="7" fillId="4" borderId="0" xfId="0" applyNumberFormat="1" applyFont="1" applyFill="1" applyBorder="1" applyAlignment="1" applyProtection="1">
      <alignment horizontal="left"/>
    </xf>
    <xf numFmtId="0" fontId="10" fillId="4" borderId="14" xfId="0" applyFont="1" applyFill="1" applyBorder="1" applyAlignment="1" applyProtection="1">
      <protection locked="0"/>
    </xf>
    <xf numFmtId="0" fontId="6" fillId="4" borderId="14" xfId="0" applyFont="1" applyFill="1" applyBorder="1" applyAlignment="1" applyProtection="1">
      <alignment horizontal="left"/>
      <protection locked="0"/>
    </xf>
    <xf numFmtId="0" fontId="6" fillId="4" borderId="14" xfId="0" applyNumberFormat="1" applyFont="1" applyFill="1" applyBorder="1" applyAlignment="1" applyProtection="1">
      <alignment horizontal="center"/>
      <protection locked="0"/>
    </xf>
    <xf numFmtId="0" fontId="19" fillId="5" borderId="0" xfId="0" applyFont="1" applyFill="1" applyBorder="1" applyAlignment="1" applyProtection="1">
      <alignment horizontal="right"/>
    </xf>
    <xf numFmtId="0" fontId="58" fillId="4" borderId="0" xfId="0" applyFont="1" applyFill="1" applyBorder="1" applyAlignment="1" applyProtection="1">
      <alignment horizontal="right"/>
    </xf>
    <xf numFmtId="165" fontId="63" fillId="4" borderId="0" xfId="4" applyNumberFormat="1" applyFont="1" applyFill="1" applyBorder="1" applyProtection="1"/>
    <xf numFmtId="0" fontId="57" fillId="4" borderId="0" xfId="0" applyFont="1" applyFill="1" applyBorder="1" applyAlignment="1" applyProtection="1">
      <alignment horizontal="left"/>
    </xf>
    <xf numFmtId="0" fontId="11" fillId="4" borderId="11" xfId="0" applyFont="1" applyFill="1" applyBorder="1" applyAlignment="1" applyProtection="1">
      <alignment horizontal="right"/>
    </xf>
    <xf numFmtId="167" fontId="13" fillId="4" borderId="11" xfId="4" applyNumberFormat="1" applyFont="1" applyFill="1" applyBorder="1" applyProtection="1"/>
    <xf numFmtId="1" fontId="10" fillId="4" borderId="17" xfId="0" applyNumberFormat="1" applyFont="1" applyFill="1" applyBorder="1" applyProtection="1"/>
    <xf numFmtId="167" fontId="10" fillId="4" borderId="17" xfId="4" applyNumberFormat="1" applyFont="1" applyFill="1" applyBorder="1" applyProtection="1"/>
    <xf numFmtId="1" fontId="11" fillId="4" borderId="11" xfId="0" applyNumberFormat="1" applyFont="1" applyFill="1" applyBorder="1" applyProtection="1"/>
    <xf numFmtId="167" fontId="10" fillId="4" borderId="11" xfId="4" applyNumberFormat="1" applyFont="1" applyFill="1" applyBorder="1" applyProtection="1"/>
    <xf numFmtId="167" fontId="12" fillId="5" borderId="0" xfId="0" quotePrefix="1" applyNumberFormat="1" applyFont="1" applyFill="1" applyBorder="1" applyAlignment="1" applyProtection="1">
      <alignment horizontal="center"/>
    </xf>
    <xf numFmtId="167" fontId="10" fillId="5" borderId="14" xfId="4" applyNumberFormat="1" applyFont="1" applyFill="1" applyBorder="1" applyAlignment="1" applyProtection="1">
      <alignment horizontal="left"/>
      <protection locked="0"/>
    </xf>
    <xf numFmtId="1" fontId="10" fillId="5" borderId="14" xfId="0" applyNumberFormat="1" applyFont="1" applyFill="1" applyBorder="1" applyProtection="1">
      <protection locked="0"/>
    </xf>
    <xf numFmtId="1" fontId="10" fillId="5" borderId="14" xfId="0" applyNumberFormat="1" applyFont="1" applyFill="1" applyBorder="1" applyAlignment="1" applyProtection="1">
      <alignment horizontal="left"/>
      <protection locked="0"/>
    </xf>
    <xf numFmtId="49" fontId="10" fillId="5" borderId="14" xfId="0" applyNumberFormat="1" applyFont="1" applyFill="1" applyBorder="1" applyProtection="1">
      <protection locked="0"/>
    </xf>
    <xf numFmtId="49" fontId="10" fillId="4" borderId="17" xfId="0" applyNumberFormat="1" applyFont="1" applyFill="1" applyBorder="1" applyProtection="1"/>
    <xf numFmtId="1" fontId="10" fillId="4" borderId="11" xfId="0" applyNumberFormat="1" applyFont="1" applyFill="1" applyBorder="1" applyProtection="1"/>
    <xf numFmtId="49" fontId="10" fillId="4" borderId="11" xfId="0" applyNumberFormat="1" applyFont="1" applyFill="1" applyBorder="1" applyProtection="1"/>
    <xf numFmtId="49" fontId="10" fillId="5" borderId="0" xfId="0" applyNumberFormat="1" applyFont="1" applyFill="1" applyBorder="1" applyProtection="1"/>
    <xf numFmtId="0" fontId="19" fillId="4" borderId="17" xfId="0" applyFont="1" applyFill="1" applyBorder="1" applyAlignment="1" applyProtection="1">
      <alignment horizontal="right"/>
    </xf>
    <xf numFmtId="0" fontId="12" fillId="4" borderId="17" xfId="0" applyFont="1" applyFill="1" applyBorder="1" applyProtection="1"/>
    <xf numFmtId="49" fontId="12" fillId="4" borderId="17" xfId="0" applyNumberFormat="1" applyFont="1" applyFill="1" applyBorder="1" applyProtection="1"/>
    <xf numFmtId="167" fontId="12" fillId="4" borderId="17" xfId="0" quotePrefix="1" applyNumberFormat="1" applyFont="1" applyFill="1" applyBorder="1" applyAlignment="1" applyProtection="1">
      <alignment horizontal="center"/>
    </xf>
    <xf numFmtId="49" fontId="34" fillId="5" borderId="0" xfId="0" applyNumberFormat="1" applyFont="1" applyFill="1" applyBorder="1" applyProtection="1"/>
    <xf numFmtId="0" fontId="11" fillId="4" borderId="11" xfId="0" applyFont="1" applyFill="1" applyBorder="1" applyAlignment="1" applyProtection="1">
      <alignment horizontal="left"/>
    </xf>
    <xf numFmtId="176" fontId="10" fillId="5" borderId="14" xfId="0" applyNumberFormat="1" applyFont="1" applyFill="1" applyBorder="1" applyAlignment="1" applyProtection="1">
      <alignment horizontal="left"/>
      <protection locked="0"/>
    </xf>
    <xf numFmtId="0" fontId="10" fillId="5" borderId="19" xfId="0" applyFont="1" applyFill="1" applyBorder="1" applyProtection="1"/>
    <xf numFmtId="0" fontId="8" fillId="4" borderId="14" xfId="0" applyNumberFormat="1" applyFont="1" applyFill="1" applyBorder="1" applyAlignment="1" applyProtection="1">
      <alignment horizontal="left"/>
    </xf>
    <xf numFmtId="164" fontId="8" fillId="4" borderId="14" xfId="4" applyNumberFormat="1" applyFont="1" applyFill="1" applyBorder="1" applyAlignment="1" applyProtection="1">
      <alignment horizontal="left"/>
    </xf>
    <xf numFmtId="0" fontId="6" fillId="0" borderId="0" xfId="0" applyFont="1" applyFill="1" applyBorder="1" applyAlignment="1" applyProtection="1"/>
    <xf numFmtId="0" fontId="7" fillId="0" borderId="0" xfId="0" applyFont="1" applyFill="1" applyAlignment="1" applyProtection="1">
      <alignment horizontal="left"/>
    </xf>
    <xf numFmtId="0" fontId="6" fillId="0" borderId="0" xfId="0" applyFont="1" applyFill="1" applyAlignment="1" applyProtection="1">
      <alignment horizontal="right"/>
    </xf>
    <xf numFmtId="0" fontId="7" fillId="0" borderId="0" xfId="0" applyFont="1" applyAlignment="1" applyProtection="1">
      <alignment horizontal="left"/>
    </xf>
    <xf numFmtId="4"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left"/>
    </xf>
    <xf numFmtId="0" fontId="6" fillId="0" borderId="0" xfId="0" applyFont="1" applyFill="1" applyBorder="1" applyProtection="1"/>
    <xf numFmtId="10" fontId="6" fillId="0" borderId="0" xfId="0" applyNumberFormat="1" applyFont="1" applyFill="1" applyBorder="1" applyAlignment="1" applyProtection="1">
      <alignment horizontal="center"/>
    </xf>
    <xf numFmtId="1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164" fontId="10" fillId="5" borderId="11"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center"/>
    </xf>
    <xf numFmtId="176" fontId="10" fillId="5" borderId="11" xfId="0" applyNumberFormat="1" applyFont="1" applyFill="1" applyBorder="1" applyAlignment="1" applyProtection="1">
      <alignment horizontal="left"/>
      <protection locked="0"/>
    </xf>
    <xf numFmtId="167" fontId="7" fillId="5" borderId="3" xfId="0" applyNumberFormat="1" applyFont="1" applyFill="1" applyBorder="1" applyProtection="1"/>
    <xf numFmtId="167" fontId="7" fillId="5" borderId="0" xfId="0" applyNumberFormat="1" applyFont="1" applyFill="1" applyBorder="1" applyProtection="1"/>
    <xf numFmtId="167" fontId="38" fillId="5" borderId="0" xfId="0" applyNumberFormat="1" applyFont="1" applyFill="1" applyBorder="1" applyProtection="1"/>
    <xf numFmtId="167" fontId="7" fillId="4" borderId="11" xfId="0" applyNumberFormat="1" applyFont="1" applyFill="1" applyBorder="1" applyProtection="1"/>
    <xf numFmtId="167" fontId="7" fillId="4" borderId="14" xfId="0" applyNumberFormat="1" applyFont="1" applyFill="1" applyBorder="1" applyAlignment="1" applyProtection="1">
      <alignment horizontal="center"/>
    </xf>
    <xf numFmtId="167" fontId="7" fillId="4" borderId="17" xfId="0" applyNumberFormat="1" applyFont="1" applyFill="1" applyBorder="1" applyProtection="1"/>
    <xf numFmtId="167" fontId="7" fillId="5" borderId="8" xfId="4" applyNumberFormat="1" applyFont="1" applyFill="1" applyBorder="1" applyAlignment="1" applyProtection="1">
      <alignment horizontal="left"/>
    </xf>
    <xf numFmtId="167" fontId="7" fillId="4" borderId="0" xfId="4" applyNumberFormat="1" applyFont="1" applyFill="1" applyBorder="1" applyAlignment="1" applyProtection="1">
      <alignment horizontal="left"/>
    </xf>
    <xf numFmtId="167" fontId="7" fillId="5" borderId="3" xfId="4" applyNumberFormat="1" applyFont="1" applyFill="1" applyBorder="1" applyAlignment="1" applyProtection="1">
      <alignment horizontal="left"/>
    </xf>
    <xf numFmtId="167" fontId="7" fillId="5" borderId="0" xfId="4" applyNumberFormat="1" applyFont="1" applyFill="1" applyBorder="1" applyAlignment="1" applyProtection="1">
      <alignment horizontal="left"/>
    </xf>
    <xf numFmtId="0" fontId="6" fillId="5" borderId="0" xfId="0" applyFont="1" applyFill="1" applyAlignment="1"/>
    <xf numFmtId="0" fontId="44" fillId="5" borderId="5" xfId="0" applyFont="1" applyFill="1" applyBorder="1" applyProtection="1"/>
    <xf numFmtId="0" fontId="44" fillId="4" borderId="13" xfId="0" applyFont="1" applyFill="1" applyBorder="1" applyProtection="1"/>
    <xf numFmtId="0" fontId="44" fillId="5" borderId="6" xfId="0" applyFont="1" applyFill="1" applyBorder="1" applyProtection="1"/>
    <xf numFmtId="0" fontId="44" fillId="4" borderId="0" xfId="0" applyFont="1" applyFill="1" applyProtection="1"/>
    <xf numFmtId="0" fontId="57" fillId="4" borderId="0" xfId="0" applyFont="1" applyFill="1" applyAlignment="1" applyProtection="1">
      <alignment horizontal="left"/>
    </xf>
    <xf numFmtId="174" fontId="6" fillId="5" borderId="14" xfId="3" applyNumberFormat="1" applyFont="1" applyFill="1" applyBorder="1" applyAlignment="1" applyProtection="1">
      <alignment horizontal="center"/>
      <protection locked="0"/>
    </xf>
    <xf numFmtId="0" fontId="8" fillId="5" borderId="0" xfId="0" applyFont="1" applyFill="1"/>
    <xf numFmtId="0" fontId="44" fillId="0" borderId="0" xfId="0" applyFont="1" applyFill="1" applyBorder="1" applyAlignment="1" applyProtection="1">
      <alignment horizontal="left"/>
    </xf>
    <xf numFmtId="0" fontId="37" fillId="0" borderId="0" xfId="0" applyFont="1" applyFill="1" applyAlignment="1" applyProtection="1">
      <alignment horizontal="left"/>
    </xf>
    <xf numFmtId="0" fontId="6" fillId="2" borderId="0" xfId="0" applyFont="1" applyFill="1" applyBorder="1" applyAlignment="1" applyProtection="1">
      <alignment horizontal="left"/>
    </xf>
    <xf numFmtId="173" fontId="6" fillId="2" borderId="0" xfId="0" applyNumberFormat="1" applyFont="1" applyFill="1" applyBorder="1" applyAlignment="1" applyProtection="1">
      <alignment horizontal="left"/>
    </xf>
    <xf numFmtId="0" fontId="6" fillId="4" borderId="14" xfId="0" applyFont="1" applyFill="1" applyBorder="1" applyProtection="1">
      <protection locked="0"/>
    </xf>
    <xf numFmtId="0" fontId="6" fillId="5" borderId="14"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165" fontId="6" fillId="4" borderId="0" xfId="4" applyFont="1" applyFill="1" applyBorder="1" applyProtection="1"/>
    <xf numFmtId="165" fontId="6" fillId="5" borderId="3" xfId="4" applyFont="1" applyFill="1" applyBorder="1" applyProtection="1"/>
    <xf numFmtId="165" fontId="6" fillId="5" borderId="0" xfId="4" applyFont="1" applyFill="1" applyBorder="1" applyProtection="1"/>
    <xf numFmtId="167" fontId="49" fillId="5" borderId="0" xfId="4" applyNumberFormat="1" applyFont="1" applyFill="1" applyBorder="1" applyProtection="1"/>
    <xf numFmtId="165" fontId="49" fillId="5" borderId="0" xfId="4" applyFont="1" applyFill="1" applyBorder="1" applyProtection="1"/>
    <xf numFmtId="167" fontId="6" fillId="4" borderId="11" xfId="4" applyNumberFormat="1" applyFont="1" applyFill="1" applyBorder="1" applyProtection="1"/>
    <xf numFmtId="165" fontId="6" fillId="4" borderId="11" xfId="4" applyFont="1" applyFill="1" applyBorder="1" applyProtection="1"/>
    <xf numFmtId="167" fontId="6" fillId="5" borderId="14" xfId="4" applyNumberFormat="1" applyFont="1" applyFill="1" applyBorder="1" applyAlignment="1" applyProtection="1">
      <alignment horizontal="left" vertical="top" wrapText="1"/>
      <protection locked="0"/>
    </xf>
    <xf numFmtId="0" fontId="6" fillId="4" borderId="0" xfId="0" applyFont="1" applyFill="1" applyBorder="1" applyProtection="1">
      <protection locked="0"/>
    </xf>
    <xf numFmtId="167" fontId="6" fillId="4" borderId="0" xfId="4" applyNumberFormat="1" applyFont="1" applyFill="1" applyBorder="1" applyAlignment="1" applyProtection="1">
      <alignment horizontal="right"/>
    </xf>
    <xf numFmtId="165" fontId="6" fillId="4" borderId="0" xfId="4" applyFont="1" applyFill="1" applyBorder="1" applyAlignment="1" applyProtection="1">
      <alignment horizontal="right"/>
    </xf>
    <xf numFmtId="167" fontId="6" fillId="5" borderId="0" xfId="4" applyNumberFormat="1" applyFont="1" applyFill="1" applyBorder="1" applyAlignment="1" applyProtection="1">
      <alignment horizontal="right"/>
    </xf>
    <xf numFmtId="165" fontId="6" fillId="5" borderId="0" xfId="4" applyFont="1" applyFill="1" applyBorder="1" applyAlignment="1" applyProtection="1">
      <alignment horizontal="right"/>
    </xf>
    <xf numFmtId="165" fontId="7" fillId="5" borderId="0" xfId="4" applyFont="1" applyFill="1" applyBorder="1" applyAlignment="1" applyProtection="1">
      <alignment horizontal="left"/>
    </xf>
    <xf numFmtId="167" fontId="7" fillId="5" borderId="8" xfId="4" applyNumberFormat="1" applyFont="1" applyFill="1" applyBorder="1" applyProtection="1"/>
    <xf numFmtId="165" fontId="7" fillId="5" borderId="8" xfId="4" applyFont="1" applyFill="1" applyBorder="1" applyProtection="1"/>
    <xf numFmtId="167" fontId="7" fillId="4" borderId="0" xfId="4" applyNumberFormat="1" applyFont="1" applyFill="1" applyBorder="1" applyProtection="1"/>
    <xf numFmtId="165" fontId="7" fillId="4" borderId="0" xfId="4" applyFont="1" applyFill="1" applyBorder="1" applyProtection="1"/>
    <xf numFmtId="49" fontId="57" fillId="4" borderId="0" xfId="0" applyNumberFormat="1" applyFont="1" applyFill="1" applyBorder="1" applyAlignment="1" applyProtection="1">
      <alignment horizontal="left"/>
    </xf>
    <xf numFmtId="0" fontId="52" fillId="0" borderId="0" xfId="0" applyFont="1" applyFill="1" applyBorder="1" applyAlignment="1" applyProtection="1">
      <alignment horizontal="left" indent="1"/>
    </xf>
    <xf numFmtId="0" fontId="52" fillId="0" borderId="0" xfId="0" applyFont="1" applyFill="1" applyAlignment="1" applyProtection="1">
      <alignment horizontal="left" indent="1"/>
    </xf>
    <xf numFmtId="164" fontId="6" fillId="5" borderId="14" xfId="0" applyNumberFormat="1" applyFont="1" applyFill="1" applyBorder="1" applyAlignment="1" applyProtection="1">
      <alignment horizontal="left"/>
    </xf>
    <xf numFmtId="164" fontId="59" fillId="4" borderId="14" xfId="4" applyNumberFormat="1" applyFont="1" applyFill="1" applyBorder="1" applyAlignment="1" applyProtection="1">
      <alignment horizontal="left"/>
    </xf>
    <xf numFmtId="9" fontId="6" fillId="4" borderId="14" xfId="0" applyNumberFormat="1" applyFont="1" applyFill="1" applyBorder="1" applyAlignment="1" applyProtection="1">
      <alignment horizontal="left"/>
    </xf>
    <xf numFmtId="0" fontId="6" fillId="4" borderId="14" xfId="0" applyFont="1" applyFill="1" applyBorder="1" applyAlignment="1" applyProtection="1"/>
    <xf numFmtId="0" fontId="9" fillId="5" borderId="0" xfId="0" applyFont="1" applyFill="1" applyAlignment="1"/>
    <xf numFmtId="0" fontId="7" fillId="5" borderId="0" xfId="0" applyFont="1" applyFill="1" applyAlignment="1"/>
    <xf numFmtId="0" fontId="44" fillId="0" borderId="0" xfId="0" applyFont="1" applyFill="1" applyBorder="1" applyAlignment="1" applyProtection="1">
      <alignment horizontal="left"/>
    </xf>
    <xf numFmtId="0" fontId="49" fillId="4" borderId="11" xfId="0" applyFont="1" applyFill="1" applyBorder="1" applyProtection="1"/>
    <xf numFmtId="0" fontId="51" fillId="4" borderId="11" xfId="0" applyFont="1" applyFill="1" applyBorder="1" applyProtection="1"/>
    <xf numFmtId="0" fontId="6" fillId="3" borderId="14" xfId="0" applyFont="1" applyFill="1" applyBorder="1" applyAlignment="1" applyProtection="1">
      <alignment horizontal="center"/>
      <protection locked="0"/>
    </xf>
    <xf numFmtId="0" fontId="68" fillId="5" borderId="0" xfId="0" applyFont="1" applyFill="1" applyBorder="1" applyAlignment="1" applyProtection="1">
      <alignment horizontal="left"/>
    </xf>
    <xf numFmtId="0" fontId="68" fillId="5" borderId="0" xfId="0" applyFont="1" applyFill="1" applyBorder="1" applyProtection="1"/>
    <xf numFmtId="0" fontId="68" fillId="5" borderId="0" xfId="0" applyFont="1" applyFill="1" applyBorder="1"/>
    <xf numFmtId="3" fontId="6" fillId="2" borderId="0" xfId="0" applyNumberFormat="1" applyFont="1" applyFill="1" applyBorder="1" applyAlignment="1" applyProtection="1">
      <alignment horizontal="left"/>
      <protection locked="0"/>
    </xf>
    <xf numFmtId="0" fontId="6" fillId="6" borderId="14" xfId="0" applyFont="1" applyFill="1" applyBorder="1" applyAlignment="1" applyProtection="1">
      <alignment horizontal="left"/>
    </xf>
    <xf numFmtId="164" fontId="6" fillId="6" borderId="14" xfId="0" applyNumberFormat="1" applyFont="1" applyFill="1" applyBorder="1" applyProtection="1"/>
    <xf numFmtId="0" fontId="6" fillId="6" borderId="14" xfId="0" applyFont="1" applyFill="1" applyBorder="1" applyProtection="1"/>
    <xf numFmtId="172" fontId="6" fillId="6" borderId="14" xfId="0" applyNumberFormat="1" applyFont="1" applyFill="1" applyBorder="1" applyAlignment="1" applyProtection="1">
      <alignment horizontal="left"/>
    </xf>
    <xf numFmtId="164" fontId="6" fillId="6" borderId="14" xfId="0" applyNumberFormat="1" applyFont="1" applyFill="1" applyBorder="1" applyAlignment="1" applyProtection="1"/>
    <xf numFmtId="0" fontId="6" fillId="6" borderId="14" xfId="0" applyFont="1" applyFill="1" applyBorder="1" applyAlignment="1" applyProtection="1">
      <alignment horizontal="center"/>
    </xf>
    <xf numFmtId="1" fontId="6" fillId="6" borderId="14" xfId="0" applyNumberFormat="1" applyFont="1" applyFill="1" applyBorder="1" applyAlignment="1" applyProtection="1">
      <alignment horizontal="center"/>
    </xf>
    <xf numFmtId="164" fontId="6" fillId="6" borderId="14" xfId="0" applyNumberFormat="1" applyFont="1" applyFill="1" applyBorder="1" applyAlignment="1" applyProtection="1">
      <alignment horizontal="left"/>
    </xf>
    <xf numFmtId="171" fontId="6" fillId="6" borderId="14" xfId="0" applyNumberFormat="1" applyFont="1" applyFill="1" applyBorder="1" applyAlignment="1" applyProtection="1">
      <alignment horizontal="center"/>
    </xf>
    <xf numFmtId="164" fontId="6" fillId="6" borderId="14" xfId="0" applyNumberFormat="1" applyFont="1" applyFill="1" applyBorder="1" applyAlignment="1" applyProtection="1">
      <alignment horizontal="center"/>
    </xf>
    <xf numFmtId="0" fontId="70" fillId="5" borderId="0" xfId="0" applyFont="1" applyFill="1" applyBorder="1" applyAlignment="1" applyProtection="1">
      <alignment horizontal="right"/>
    </xf>
    <xf numFmtId="0" fontId="28" fillId="5" borderId="5" xfId="0" applyFont="1" applyFill="1" applyBorder="1" applyProtection="1"/>
    <xf numFmtId="0" fontId="68" fillId="5" borderId="5" xfId="0" applyFont="1" applyFill="1" applyBorder="1" applyProtection="1"/>
    <xf numFmtId="0" fontId="35" fillId="5" borderId="5" xfId="0" applyFont="1" applyFill="1" applyBorder="1" applyProtection="1"/>
    <xf numFmtId="0" fontId="68" fillId="5" borderId="0" xfId="0" applyFont="1" applyFill="1" applyBorder="1" applyAlignment="1" applyProtection="1">
      <alignment horizontal="center"/>
    </xf>
    <xf numFmtId="0" fontId="68" fillId="4" borderId="0" xfId="0" applyFont="1" applyFill="1" applyBorder="1" applyProtection="1"/>
    <xf numFmtId="0" fontId="64" fillId="5" borderId="5" xfId="0" applyFont="1" applyFill="1" applyBorder="1" applyAlignment="1" applyProtection="1">
      <alignment horizontal="left"/>
    </xf>
    <xf numFmtId="0" fontId="64" fillId="5" borderId="0" xfId="0" applyFont="1" applyFill="1" applyBorder="1" applyProtection="1"/>
    <xf numFmtId="0" fontId="64" fillId="5" borderId="0" xfId="0" applyFont="1" applyFill="1" applyBorder="1" applyAlignment="1" applyProtection="1">
      <alignment horizontal="center"/>
    </xf>
    <xf numFmtId="0" fontId="64" fillId="5" borderId="0" xfId="0" applyNumberFormat="1" applyFont="1" applyFill="1" applyBorder="1" applyAlignment="1" applyProtection="1">
      <alignment horizontal="center"/>
    </xf>
    <xf numFmtId="171" fontId="64" fillId="5" borderId="0" xfId="0" applyNumberFormat="1" applyFont="1" applyFill="1" applyBorder="1" applyAlignment="1" applyProtection="1">
      <alignment horizontal="center"/>
    </xf>
    <xf numFmtId="164" fontId="64" fillId="5" borderId="0" xfId="0" applyNumberFormat="1" applyFont="1" applyFill="1" applyBorder="1" applyProtection="1"/>
    <xf numFmtId="167" fontId="64" fillId="5" borderId="0" xfId="0" applyNumberFormat="1" applyFont="1" applyFill="1" applyBorder="1" applyProtection="1"/>
    <xf numFmtId="0" fontId="64" fillId="5" borderId="6" xfId="0" applyFont="1" applyFill="1" applyBorder="1" applyProtection="1"/>
    <xf numFmtId="0" fontId="28" fillId="5" borderId="5" xfId="0" applyFont="1" applyFill="1" applyBorder="1" applyAlignment="1" applyProtection="1">
      <alignment horizontal="left"/>
    </xf>
    <xf numFmtId="167" fontId="28" fillId="5" borderId="0" xfId="0" applyNumberFormat="1" applyFont="1" applyFill="1" applyBorder="1" applyProtection="1"/>
    <xf numFmtId="174" fontId="10" fillId="5" borderId="14" xfId="3" applyNumberFormat="1" applyFont="1" applyFill="1" applyBorder="1" applyAlignment="1" applyProtection="1">
      <alignment horizontal="center"/>
      <protection locked="0"/>
    </xf>
    <xf numFmtId="174" fontId="12" fillId="4" borderId="14" xfId="0" applyNumberFormat="1" applyFont="1" applyFill="1" applyBorder="1" applyAlignment="1" applyProtection="1">
      <alignment horizontal="right"/>
    </xf>
    <xf numFmtId="174" fontId="19" fillId="4" borderId="14" xfId="0" applyNumberFormat="1" applyFont="1" applyFill="1" applyBorder="1" applyAlignment="1" applyProtection="1">
      <alignment horizontal="left"/>
    </xf>
    <xf numFmtId="174" fontId="11" fillId="4" borderId="14" xfId="0" applyNumberFormat="1" applyFont="1" applyFill="1" applyBorder="1" applyAlignment="1" applyProtection="1">
      <alignment horizontal="left"/>
    </xf>
    <xf numFmtId="174" fontId="49" fillId="4" borderId="14" xfId="0" applyNumberFormat="1" applyFont="1" applyFill="1" applyBorder="1" applyAlignment="1" applyProtection="1">
      <alignment horizontal="left"/>
    </xf>
    <xf numFmtId="174" fontId="37" fillId="4" borderId="14" xfId="0" applyNumberFormat="1" applyFont="1" applyFill="1" applyBorder="1" applyAlignment="1" applyProtection="1">
      <alignment horizontal="left"/>
    </xf>
    <xf numFmtId="0" fontId="3" fillId="0" borderId="0" xfId="2" applyFill="1" applyAlignment="1" applyProtection="1">
      <alignment horizontal="left"/>
    </xf>
    <xf numFmtId="0" fontId="71" fillId="5" borderId="0" xfId="0" applyFont="1" applyFill="1" applyBorder="1" applyAlignment="1" applyProtection="1">
      <alignment horizontal="right"/>
    </xf>
    <xf numFmtId="0" fontId="73" fillId="5" borderId="0" xfId="0" applyFont="1" applyFill="1" applyBorder="1" applyAlignment="1" applyProtection="1">
      <alignment horizontal="center"/>
    </xf>
    <xf numFmtId="0" fontId="74" fillId="4" borderId="14" xfId="0" applyFont="1" applyFill="1" applyBorder="1" applyProtection="1"/>
    <xf numFmtId="0" fontId="72" fillId="4" borderId="14" xfId="0" applyFont="1" applyFill="1" applyBorder="1" applyProtection="1"/>
    <xf numFmtId="0" fontId="71" fillId="4" borderId="14" xfId="0" applyFont="1" applyFill="1" applyBorder="1" applyProtection="1"/>
    <xf numFmtId="0" fontId="74" fillId="4" borderId="0" xfId="0" applyFont="1" applyFill="1" applyBorder="1" applyProtection="1"/>
    <xf numFmtId="0" fontId="72" fillId="5" borderId="0" xfId="0" applyFont="1" applyFill="1" applyBorder="1" applyProtection="1"/>
    <xf numFmtId="0" fontId="71" fillId="4" borderId="14" xfId="0" applyFont="1" applyFill="1" applyBorder="1" applyAlignment="1" applyProtection="1">
      <alignment horizontal="left"/>
    </xf>
    <xf numFmtId="0" fontId="46" fillId="6" borderId="14" xfId="0" applyFont="1" applyFill="1" applyBorder="1" applyAlignment="1" applyProtection="1">
      <alignment horizontal="center"/>
    </xf>
    <xf numFmtId="0" fontId="7" fillId="7" borderId="14" xfId="0" applyFont="1" applyFill="1" applyBorder="1" applyAlignment="1" applyProtection="1">
      <alignment horizontal="center"/>
    </xf>
    <xf numFmtId="0" fontId="75" fillId="5" borderId="0" xfId="0" applyFont="1" applyFill="1" applyBorder="1" applyProtection="1"/>
    <xf numFmtId="0" fontId="71" fillId="4" borderId="14" xfId="0" applyFont="1" applyFill="1" applyBorder="1" applyAlignment="1" applyProtection="1">
      <alignment horizontal="center"/>
    </xf>
    <xf numFmtId="0" fontId="74" fillId="4" borderId="14" xfId="0" applyFont="1" applyFill="1" applyBorder="1" applyAlignment="1" applyProtection="1">
      <alignment horizontal="left"/>
    </xf>
    <xf numFmtId="0" fontId="72" fillId="4" borderId="14" xfId="0" applyFont="1" applyFill="1" applyBorder="1" applyAlignment="1" applyProtection="1">
      <alignment horizontal="left"/>
    </xf>
    <xf numFmtId="0" fontId="71" fillId="4" borderId="14" xfId="0" applyNumberFormat="1" applyFont="1" applyFill="1" applyBorder="1" applyProtection="1"/>
    <xf numFmtId="0" fontId="71" fillId="4" borderId="0" xfId="0" applyFont="1" applyFill="1" applyBorder="1" applyAlignment="1" applyProtection="1">
      <alignment horizontal="left"/>
    </xf>
    <xf numFmtId="0" fontId="73" fillId="4" borderId="0" xfId="0" applyFont="1" applyFill="1" applyBorder="1" applyAlignment="1" applyProtection="1">
      <alignment horizontal="center"/>
    </xf>
    <xf numFmtId="0" fontId="72" fillId="4" borderId="0" xfId="0" applyFont="1" applyFill="1" applyBorder="1" applyProtection="1"/>
    <xf numFmtId="0" fontId="72" fillId="4" borderId="0" xfId="0" applyFont="1" applyFill="1" applyProtection="1"/>
    <xf numFmtId="0" fontId="72" fillId="4" borderId="0" xfId="0" applyFont="1" applyFill="1" applyAlignment="1" applyProtection="1">
      <alignment horizontal="left"/>
    </xf>
    <xf numFmtId="164" fontId="72" fillId="4" borderId="0" xfId="0" applyNumberFormat="1" applyFont="1" applyFill="1" applyBorder="1" applyAlignment="1" applyProtection="1">
      <alignment horizontal="left"/>
    </xf>
    <xf numFmtId="164" fontId="72" fillId="4" borderId="0" xfId="0" quotePrefix="1" applyNumberFormat="1" applyFont="1" applyFill="1" applyBorder="1" applyAlignment="1" applyProtection="1">
      <alignment horizontal="left"/>
    </xf>
    <xf numFmtId="166" fontId="72" fillId="4" borderId="0" xfId="0" applyNumberFormat="1" applyFont="1" applyFill="1" applyProtection="1"/>
    <xf numFmtId="164" fontId="7" fillId="7" borderId="14" xfId="0" applyNumberFormat="1" applyFont="1" applyFill="1" applyBorder="1" applyAlignment="1" applyProtection="1">
      <alignment horizontal="left"/>
    </xf>
    <xf numFmtId="167" fontId="7" fillId="7" borderId="14" xfId="0" applyNumberFormat="1" applyFont="1" applyFill="1" applyBorder="1" applyAlignment="1" applyProtection="1">
      <alignment horizontal="left"/>
    </xf>
    <xf numFmtId="168" fontId="7" fillId="7" borderId="14" xfId="0" applyNumberFormat="1" applyFont="1" applyFill="1" applyBorder="1" applyAlignment="1" applyProtection="1">
      <alignment horizontal="left"/>
    </xf>
    <xf numFmtId="164" fontId="8" fillId="7" borderId="14" xfId="0" applyNumberFormat="1" applyFont="1" applyFill="1" applyBorder="1" applyAlignment="1" applyProtection="1">
      <alignment horizontal="left"/>
    </xf>
    <xf numFmtId="167" fontId="6" fillId="6" borderId="14" xfId="4" applyNumberFormat="1" applyFont="1" applyFill="1" applyBorder="1" applyAlignment="1" applyProtection="1">
      <alignment horizontal="left"/>
    </xf>
    <xf numFmtId="164" fontId="10" fillId="6" borderId="14" xfId="0" applyNumberFormat="1" applyFont="1" applyFill="1" applyBorder="1" applyAlignment="1" applyProtection="1">
      <alignment horizontal="left"/>
    </xf>
    <xf numFmtId="167" fontId="8" fillId="7" borderId="14" xfId="0" applyNumberFormat="1" applyFont="1" applyFill="1" applyBorder="1" applyAlignment="1" applyProtection="1">
      <alignment horizontal="left"/>
    </xf>
    <xf numFmtId="0" fontId="8" fillId="4" borderId="14" xfId="0" quotePrefix="1" applyFont="1" applyFill="1" applyBorder="1" applyProtection="1"/>
    <xf numFmtId="9" fontId="8" fillId="4" borderId="14" xfId="0" applyNumberFormat="1" applyFont="1" applyFill="1" applyBorder="1" applyAlignment="1" applyProtection="1">
      <alignment horizontal="center"/>
    </xf>
    <xf numFmtId="0" fontId="76" fillId="4" borderId="14" xfId="0" applyFont="1" applyFill="1" applyBorder="1" applyAlignment="1" applyProtection="1">
      <alignment horizontal="left"/>
    </xf>
    <xf numFmtId="0" fontId="71" fillId="4" borderId="14" xfId="0" applyFont="1" applyFill="1" applyBorder="1" applyAlignment="1" applyProtection="1"/>
    <xf numFmtId="0" fontId="71" fillId="4" borderId="14" xfId="0" applyNumberFormat="1" applyFont="1" applyFill="1" applyBorder="1" applyAlignment="1" applyProtection="1">
      <alignment horizontal="center"/>
    </xf>
    <xf numFmtId="173" fontId="71" fillId="4" borderId="14" xfId="0" applyNumberFormat="1" applyFont="1" applyFill="1" applyBorder="1" applyAlignment="1" applyProtection="1">
      <alignment horizontal="center"/>
    </xf>
    <xf numFmtId="171" fontId="71" fillId="4" borderId="14" xfId="0" applyNumberFormat="1" applyFont="1" applyFill="1" applyBorder="1" applyAlignment="1" applyProtection="1">
      <alignment horizontal="center"/>
    </xf>
    <xf numFmtId="1" fontId="71" fillId="4" borderId="14" xfId="0" applyNumberFormat="1" applyFont="1" applyFill="1" applyBorder="1" applyAlignment="1" applyProtection="1">
      <alignment horizontal="center"/>
    </xf>
    <xf numFmtId="0" fontId="71" fillId="4" borderId="0" xfId="0" applyFont="1" applyFill="1" applyBorder="1" applyAlignment="1" applyProtection="1">
      <alignment horizontal="center"/>
    </xf>
    <xf numFmtId="164" fontId="71" fillId="4" borderId="14" xfId="0" applyNumberFormat="1" applyFont="1" applyFill="1" applyBorder="1" applyAlignment="1" applyProtection="1">
      <alignment horizontal="center"/>
    </xf>
    <xf numFmtId="167" fontId="73" fillId="4" borderId="14" xfId="0" applyNumberFormat="1" applyFont="1" applyFill="1" applyBorder="1" applyAlignment="1" applyProtection="1">
      <alignment horizontal="center"/>
    </xf>
    <xf numFmtId="0" fontId="72" fillId="4" borderId="14" xfId="0" applyFont="1" applyFill="1" applyBorder="1" applyAlignment="1" applyProtection="1"/>
    <xf numFmtId="171" fontId="79" fillId="4" borderId="14" xfId="0" applyNumberFormat="1" applyFont="1" applyFill="1" applyBorder="1" applyAlignment="1" applyProtection="1">
      <alignment horizontal="center"/>
    </xf>
    <xf numFmtId="1" fontId="79" fillId="4" borderId="14" xfId="0" applyNumberFormat="1" applyFont="1" applyFill="1" applyBorder="1" applyAlignment="1" applyProtection="1">
      <alignment horizontal="center"/>
    </xf>
    <xf numFmtId="0" fontId="79" fillId="4" borderId="14" xfId="0" applyFont="1" applyFill="1" applyBorder="1" applyAlignment="1" applyProtection="1">
      <alignment horizontal="center"/>
    </xf>
    <xf numFmtId="167" fontId="79" fillId="4" borderId="0" xfId="0" applyNumberFormat="1" applyFont="1" applyFill="1" applyBorder="1" applyAlignment="1" applyProtection="1">
      <alignment horizontal="left"/>
    </xf>
    <xf numFmtId="0" fontId="79" fillId="4" borderId="0" xfId="0" applyFont="1" applyFill="1" applyBorder="1" applyAlignment="1" applyProtection="1">
      <alignment horizontal="center"/>
    </xf>
    <xf numFmtId="164" fontId="79" fillId="4" borderId="14" xfId="0" applyNumberFormat="1" applyFont="1" applyFill="1" applyBorder="1" applyAlignment="1" applyProtection="1">
      <alignment horizontal="center"/>
    </xf>
    <xf numFmtId="174" fontId="78" fillId="4" borderId="0" xfId="0" applyNumberFormat="1" applyFont="1" applyFill="1" applyBorder="1" applyAlignment="1" applyProtection="1">
      <alignment horizontal="center"/>
    </xf>
    <xf numFmtId="171" fontId="48" fillId="7" borderId="14" xfId="0" applyNumberFormat="1" applyFont="1" applyFill="1" applyBorder="1" applyAlignment="1" applyProtection="1">
      <alignment horizontal="center"/>
    </xf>
    <xf numFmtId="167" fontId="48" fillId="7" borderId="14" xfId="0" applyNumberFormat="1" applyFont="1" applyFill="1" applyBorder="1" applyProtection="1"/>
    <xf numFmtId="164" fontId="48" fillId="7" borderId="14" xfId="0" applyNumberFormat="1" applyFont="1" applyFill="1" applyBorder="1" applyProtection="1"/>
    <xf numFmtId="167" fontId="10" fillId="6" borderId="14" xfId="4" applyNumberFormat="1" applyFont="1" applyFill="1" applyBorder="1" applyProtection="1"/>
    <xf numFmtId="167" fontId="6" fillId="6" borderId="14" xfId="4" applyNumberFormat="1" applyFont="1" applyFill="1" applyBorder="1" applyProtection="1"/>
    <xf numFmtId="164" fontId="10" fillId="6" borderId="14" xfId="0" applyNumberFormat="1" applyFont="1" applyFill="1" applyBorder="1" applyAlignment="1" applyProtection="1">
      <alignment horizontal="center"/>
    </xf>
    <xf numFmtId="167" fontId="7" fillId="6" borderId="14" xfId="4" applyNumberFormat="1" applyFont="1" applyFill="1" applyBorder="1" applyAlignment="1" applyProtection="1">
      <alignment horizontal="left"/>
    </xf>
    <xf numFmtId="2" fontId="10" fillId="6" borderId="14" xfId="0" applyNumberFormat="1" applyFont="1" applyFill="1" applyBorder="1" applyAlignment="1" applyProtection="1">
      <alignment horizontal="center"/>
    </xf>
    <xf numFmtId="0" fontId="78" fillId="4" borderId="11" xfId="0" applyFont="1" applyFill="1" applyBorder="1" applyAlignment="1" applyProtection="1">
      <alignment horizontal="left"/>
    </xf>
    <xf numFmtId="0" fontId="80" fillId="4" borderId="11" xfId="0" applyFont="1" applyFill="1" applyBorder="1" applyAlignment="1" applyProtection="1">
      <alignment horizontal="center"/>
    </xf>
    <xf numFmtId="173" fontId="80" fillId="4" borderId="11" xfId="0" applyNumberFormat="1" applyFont="1" applyFill="1" applyBorder="1" applyAlignment="1" applyProtection="1">
      <alignment horizontal="center"/>
    </xf>
    <xf numFmtId="0" fontId="80" fillId="4" borderId="11" xfId="0" applyNumberFormat="1" applyFont="1" applyFill="1" applyBorder="1" applyAlignment="1" applyProtection="1">
      <alignment horizontal="center"/>
    </xf>
    <xf numFmtId="171" fontId="80" fillId="4" borderId="11" xfId="0" applyNumberFormat="1" applyFont="1" applyFill="1" applyBorder="1" applyAlignment="1" applyProtection="1">
      <alignment horizontal="center"/>
    </xf>
    <xf numFmtId="0" fontId="80" fillId="4" borderId="11" xfId="0" applyFont="1" applyFill="1" applyBorder="1" applyProtection="1"/>
    <xf numFmtId="164" fontId="80" fillId="4" borderId="11" xfId="0" applyNumberFormat="1" applyFont="1" applyFill="1" applyBorder="1" applyProtection="1"/>
    <xf numFmtId="167" fontId="77" fillId="4" borderId="11" xfId="0" applyNumberFormat="1" applyFont="1" applyFill="1" applyBorder="1" applyProtection="1"/>
    <xf numFmtId="167" fontId="80" fillId="4" borderId="14" xfId="0" applyNumberFormat="1" applyFont="1" applyFill="1" applyBorder="1" applyAlignment="1" applyProtection="1">
      <alignment horizontal="center"/>
    </xf>
    <xf numFmtId="167" fontId="77" fillId="4" borderId="14" xfId="0" applyNumberFormat="1" applyFont="1" applyFill="1" applyBorder="1" applyAlignment="1" applyProtection="1">
      <alignment horizontal="center"/>
    </xf>
    <xf numFmtId="0" fontId="72" fillId="4" borderId="11" xfId="0" applyFont="1" applyFill="1" applyBorder="1" applyAlignment="1" applyProtection="1">
      <alignment horizontal="left"/>
    </xf>
    <xf numFmtId="0" fontId="73" fillId="4" borderId="11" xfId="0" applyFont="1" applyFill="1" applyBorder="1" applyAlignment="1" applyProtection="1">
      <alignment horizontal="left"/>
    </xf>
    <xf numFmtId="0" fontId="72" fillId="4" borderId="11" xfId="0" applyFont="1" applyFill="1" applyBorder="1" applyAlignment="1" applyProtection="1">
      <alignment horizontal="center"/>
    </xf>
    <xf numFmtId="173" fontId="72" fillId="4" borderId="11" xfId="0" applyNumberFormat="1" applyFont="1" applyFill="1" applyBorder="1" applyAlignment="1" applyProtection="1">
      <alignment horizontal="center"/>
    </xf>
    <xf numFmtId="0" fontId="72" fillId="4" borderId="11" xfId="0" applyNumberFormat="1" applyFont="1" applyFill="1" applyBorder="1" applyAlignment="1" applyProtection="1">
      <alignment horizontal="center"/>
    </xf>
    <xf numFmtId="171" fontId="72" fillId="4" borderId="11" xfId="0" applyNumberFormat="1" applyFont="1" applyFill="1" applyBorder="1" applyAlignment="1" applyProtection="1">
      <alignment horizontal="center"/>
    </xf>
    <xf numFmtId="0" fontId="72" fillId="4" borderId="11" xfId="0" applyFont="1" applyFill="1" applyBorder="1" applyProtection="1"/>
    <xf numFmtId="164" fontId="72" fillId="4" borderId="11" xfId="0" applyNumberFormat="1" applyFont="1" applyFill="1" applyBorder="1" applyProtection="1"/>
    <xf numFmtId="167" fontId="74" fillId="4" borderId="11" xfId="0" applyNumberFormat="1" applyFont="1" applyFill="1" applyBorder="1" applyProtection="1"/>
    <xf numFmtId="0" fontId="72" fillId="4" borderId="14" xfId="0" applyFont="1" applyFill="1" applyBorder="1" applyAlignment="1" applyProtection="1">
      <alignment horizontal="center"/>
    </xf>
    <xf numFmtId="173" fontId="72" fillId="4" borderId="14" xfId="0" applyNumberFormat="1" applyFont="1" applyFill="1" applyBorder="1" applyAlignment="1" applyProtection="1">
      <alignment horizontal="center"/>
    </xf>
    <xf numFmtId="167" fontId="72" fillId="4" borderId="14" xfId="0" applyNumberFormat="1" applyFont="1" applyFill="1" applyBorder="1" applyAlignment="1" applyProtection="1">
      <alignment horizontal="center"/>
    </xf>
    <xf numFmtId="167" fontId="74" fillId="4" borderId="14" xfId="0" applyNumberFormat="1" applyFont="1" applyFill="1" applyBorder="1" applyAlignment="1" applyProtection="1">
      <alignment horizontal="center"/>
    </xf>
    <xf numFmtId="0" fontId="72" fillId="4" borderId="0" xfId="0" applyFont="1" applyFill="1" applyBorder="1" applyAlignment="1" applyProtection="1">
      <alignment horizontal="center"/>
    </xf>
    <xf numFmtId="0" fontId="81" fillId="4" borderId="0" xfId="0" applyFont="1" applyFill="1" applyBorder="1" applyProtection="1"/>
    <xf numFmtId="171" fontId="81" fillId="4" borderId="0" xfId="0" applyNumberFormat="1" applyFont="1" applyFill="1" applyBorder="1" applyAlignment="1" applyProtection="1">
      <alignment horizontal="center"/>
    </xf>
    <xf numFmtId="171" fontId="72" fillId="4" borderId="0" xfId="0" applyNumberFormat="1" applyFont="1" applyFill="1" applyBorder="1" applyAlignment="1" applyProtection="1">
      <alignment horizontal="center"/>
    </xf>
    <xf numFmtId="0" fontId="82" fillId="4" borderId="0" xfId="0" applyFont="1" applyFill="1" applyBorder="1" applyProtection="1"/>
    <xf numFmtId="171" fontId="82" fillId="4" borderId="0" xfId="0" applyNumberFormat="1" applyFont="1" applyFill="1" applyBorder="1" applyAlignment="1" applyProtection="1">
      <alignment horizontal="center"/>
    </xf>
    <xf numFmtId="0" fontId="72" fillId="4" borderId="0" xfId="0" applyFont="1" applyFill="1" applyBorder="1" applyAlignment="1" applyProtection="1">
      <alignment horizontal="left"/>
    </xf>
    <xf numFmtId="167" fontId="72" fillId="4" borderId="0" xfId="4" applyNumberFormat="1" applyFont="1" applyFill="1" applyBorder="1" applyProtection="1"/>
    <xf numFmtId="171" fontId="7" fillId="7" borderId="17" xfId="0" applyNumberFormat="1" applyFont="1" applyFill="1" applyBorder="1" applyAlignment="1" applyProtection="1">
      <alignment horizontal="center"/>
    </xf>
    <xf numFmtId="167" fontId="7" fillId="7" borderId="17" xfId="0" applyNumberFormat="1" applyFont="1" applyFill="1" applyBorder="1" applyProtection="1"/>
    <xf numFmtId="164" fontId="7" fillId="7" borderId="17" xfId="0" applyNumberFormat="1" applyFont="1" applyFill="1" applyBorder="1" applyProtection="1"/>
    <xf numFmtId="0" fontId="80" fillId="4" borderId="11" xfId="0" applyFont="1" applyFill="1" applyBorder="1" applyAlignment="1" applyProtection="1"/>
    <xf numFmtId="167" fontId="48" fillId="7" borderId="14" xfId="4" applyNumberFormat="1" applyFont="1" applyFill="1" applyBorder="1" applyAlignment="1" applyProtection="1">
      <alignment horizontal="left"/>
    </xf>
    <xf numFmtId="171" fontId="48" fillId="7" borderId="14" xfId="4" applyNumberFormat="1" applyFont="1" applyFill="1" applyBorder="1" applyAlignment="1" applyProtection="1">
      <alignment horizontal="center"/>
      <protection locked="0"/>
    </xf>
    <xf numFmtId="167" fontId="48" fillId="7" borderId="14" xfId="4" applyNumberFormat="1" applyFont="1" applyFill="1" applyBorder="1" applyProtection="1"/>
    <xf numFmtId="164" fontId="48" fillId="7" borderId="14" xfId="0" applyNumberFormat="1" applyFont="1" applyFill="1" applyBorder="1" applyAlignment="1" applyProtection="1">
      <alignment horizontal="center"/>
    </xf>
    <xf numFmtId="0" fontId="73" fillId="5" borderId="0" xfId="0" applyNumberFormat="1" applyFont="1" applyFill="1" applyBorder="1" applyProtection="1"/>
    <xf numFmtId="0" fontId="73" fillId="5" borderId="0" xfId="0" quotePrefix="1" applyNumberFormat="1" applyFont="1" applyFill="1" applyBorder="1" applyAlignment="1" applyProtection="1">
      <alignment horizontal="center"/>
    </xf>
    <xf numFmtId="0" fontId="72" fillId="4" borderId="14" xfId="0" applyFont="1" applyFill="1" applyBorder="1" applyAlignment="1" applyProtection="1">
      <alignment horizontal="right"/>
    </xf>
    <xf numFmtId="1" fontId="74" fillId="4" borderId="14" xfId="0" applyNumberFormat="1" applyFont="1" applyFill="1" applyBorder="1" applyProtection="1"/>
    <xf numFmtId="0" fontId="73" fillId="5" borderId="0" xfId="0" applyFont="1" applyFill="1" applyBorder="1" applyProtection="1"/>
    <xf numFmtId="167" fontId="73" fillId="4" borderId="11" xfId="0" quotePrefix="1" applyNumberFormat="1" applyFont="1" applyFill="1" applyBorder="1" applyAlignment="1" applyProtection="1">
      <alignment horizontal="center"/>
    </xf>
    <xf numFmtId="167" fontId="72" fillId="4" borderId="14" xfId="4" applyNumberFormat="1" applyFont="1" applyFill="1" applyBorder="1" applyProtection="1"/>
    <xf numFmtId="49" fontId="71" fillId="4" borderId="14" xfId="0" applyNumberFormat="1" applyFont="1" applyFill="1" applyBorder="1" applyAlignment="1" applyProtection="1">
      <alignment horizontal="center"/>
    </xf>
    <xf numFmtId="0" fontId="71" fillId="4" borderId="0" xfId="0" applyNumberFormat="1" applyFont="1" applyFill="1" applyBorder="1" applyAlignment="1" applyProtection="1">
      <alignment horizontal="right"/>
    </xf>
    <xf numFmtId="0" fontId="73" fillId="4" borderId="0" xfId="0" applyFont="1" applyFill="1" applyBorder="1" applyAlignment="1" applyProtection="1">
      <alignment horizontal="right"/>
    </xf>
    <xf numFmtId="167" fontId="72" fillId="4" borderId="0" xfId="0" applyNumberFormat="1" applyFont="1" applyFill="1" applyBorder="1" applyProtection="1"/>
    <xf numFmtId="0" fontId="74" fillId="4" borderId="0" xfId="0" applyFont="1" applyFill="1" applyBorder="1" applyAlignment="1" applyProtection="1">
      <alignment horizontal="left"/>
    </xf>
    <xf numFmtId="167" fontId="74" fillId="4" borderId="0" xfId="0" applyNumberFormat="1" applyFont="1" applyFill="1" applyBorder="1" applyProtection="1"/>
    <xf numFmtId="0" fontId="71" fillId="4" borderId="0" xfId="0" applyFont="1" applyFill="1" applyBorder="1" applyAlignment="1" applyProtection="1">
      <alignment horizontal="right"/>
    </xf>
    <xf numFmtId="167" fontId="7" fillId="7" borderId="14" xfId="4" applyNumberFormat="1" applyFont="1" applyFill="1" applyBorder="1" applyProtection="1"/>
    <xf numFmtId="167" fontId="7" fillId="7" borderId="14" xfId="4" applyNumberFormat="1" applyFont="1" applyFill="1" applyBorder="1" applyAlignment="1" applyProtection="1">
      <alignment horizontal="left"/>
    </xf>
    <xf numFmtId="167" fontId="7" fillId="7" borderId="14" xfId="0" applyNumberFormat="1" applyFont="1" applyFill="1" applyBorder="1" applyProtection="1"/>
    <xf numFmtId="164" fontId="12" fillId="7"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xf>
    <xf numFmtId="167" fontId="12" fillId="7" borderId="14" xfId="4" applyNumberFormat="1" applyFont="1" applyFill="1" applyBorder="1" applyAlignment="1" applyProtection="1">
      <alignment horizontal="left"/>
    </xf>
    <xf numFmtId="167" fontId="10" fillId="6" borderId="14" xfId="4" applyNumberFormat="1" applyFont="1" applyFill="1" applyBorder="1" applyAlignment="1" applyProtection="1">
      <alignment horizontal="left"/>
    </xf>
    <xf numFmtId="167" fontId="10" fillId="6" borderId="14" xfId="0" applyNumberFormat="1" applyFont="1" applyFill="1" applyBorder="1" applyProtection="1"/>
    <xf numFmtId="167" fontId="10" fillId="6" borderId="14" xfId="4" applyNumberFormat="1" applyFont="1" applyFill="1" applyBorder="1" applyProtection="1">
      <protection locked="0"/>
    </xf>
    <xf numFmtId="167" fontId="71" fillId="4" borderId="14" xfId="4" applyNumberFormat="1" applyFont="1" applyFill="1" applyBorder="1" applyAlignment="1" applyProtection="1">
      <alignment horizontal="left"/>
    </xf>
    <xf numFmtId="167" fontId="73" fillId="4"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protection locked="0"/>
    </xf>
    <xf numFmtId="0" fontId="73" fillId="5" borderId="0" xfId="0" applyFont="1" applyFill="1" applyBorder="1" applyAlignment="1" applyProtection="1">
      <alignment horizontal="right"/>
    </xf>
    <xf numFmtId="0" fontId="74" fillId="5" borderId="0" xfId="0" applyFont="1" applyFill="1" applyBorder="1" applyAlignment="1" applyProtection="1">
      <alignment horizontal="left"/>
    </xf>
    <xf numFmtId="0" fontId="71" fillId="5" borderId="0" xfId="0" applyFont="1" applyFill="1" applyBorder="1" applyAlignment="1" applyProtection="1">
      <alignment horizontal="left"/>
    </xf>
    <xf numFmtId="0" fontId="83" fillId="5" borderId="0" xfId="0" applyFont="1" applyFill="1" applyBorder="1" applyProtection="1"/>
    <xf numFmtId="0" fontId="73" fillId="5" borderId="0" xfId="0" applyFont="1" applyFill="1" applyBorder="1" applyAlignment="1" applyProtection="1">
      <alignment horizontal="left"/>
    </xf>
    <xf numFmtId="0" fontId="71" fillId="5" borderId="0" xfId="0" applyNumberFormat="1" applyFont="1" applyFill="1" applyBorder="1" applyAlignment="1" applyProtection="1">
      <alignment horizontal="right"/>
    </xf>
    <xf numFmtId="164" fontId="48" fillId="7" borderId="13" xfId="0" applyNumberFormat="1" applyFont="1" applyFill="1" applyBorder="1" applyAlignment="1" applyProtection="1"/>
    <xf numFmtId="164" fontId="48" fillId="7" borderId="14" xfId="0" applyNumberFormat="1" applyFont="1" applyFill="1" applyBorder="1" applyAlignment="1" applyProtection="1"/>
    <xf numFmtId="164" fontId="6" fillId="6" borderId="13" xfId="0" applyNumberFormat="1" applyFont="1" applyFill="1" applyBorder="1" applyProtection="1"/>
    <xf numFmtId="0" fontId="84" fillId="5" borderId="0" xfId="0" applyFont="1" applyFill="1" applyBorder="1" applyProtection="1"/>
    <xf numFmtId="0" fontId="72" fillId="5" borderId="0" xfId="0" applyFont="1" applyFill="1" applyBorder="1" applyAlignment="1" applyProtection="1">
      <alignment horizontal="left"/>
    </xf>
    <xf numFmtId="0" fontId="72" fillId="5" borderId="0" xfId="0" applyFont="1" applyFill="1" applyBorder="1" applyAlignment="1" applyProtection="1">
      <alignment horizontal="center"/>
    </xf>
    <xf numFmtId="0" fontId="71" fillId="5" borderId="0" xfId="0" applyFont="1" applyFill="1" applyBorder="1" applyAlignment="1" applyProtection="1">
      <alignment horizontal="center"/>
    </xf>
    <xf numFmtId="0" fontId="71" fillId="5" borderId="0" xfId="0" applyNumberFormat="1" applyFont="1" applyFill="1" applyBorder="1" applyAlignment="1" applyProtection="1">
      <alignment horizontal="center"/>
    </xf>
    <xf numFmtId="1" fontId="71" fillId="5" borderId="0" xfId="0" quotePrefix="1" applyNumberFormat="1" applyFont="1" applyFill="1" applyBorder="1" applyAlignment="1" applyProtection="1">
      <alignment horizontal="center"/>
    </xf>
    <xf numFmtId="1" fontId="71" fillId="5" borderId="0" xfId="0" applyNumberFormat="1" applyFont="1" applyFill="1" applyBorder="1" applyAlignment="1" applyProtection="1">
      <alignment horizontal="center"/>
    </xf>
    <xf numFmtId="0" fontId="10" fillId="6" borderId="14" xfId="0" applyNumberFormat="1" applyFont="1" applyFill="1" applyBorder="1" applyAlignment="1" applyProtection="1">
      <alignment horizontal="center"/>
    </xf>
    <xf numFmtId="164" fontId="7" fillId="7" borderId="14" xfId="0" applyNumberFormat="1" applyFont="1" applyFill="1" applyBorder="1" applyProtection="1"/>
    <xf numFmtId="164" fontId="8" fillId="7" borderId="14" xfId="0" applyNumberFormat="1" applyFont="1" applyFill="1" applyBorder="1" applyAlignment="1" applyProtection="1">
      <alignment horizontal="center"/>
    </xf>
    <xf numFmtId="164" fontId="7" fillId="7" borderId="14" xfId="0" applyNumberFormat="1" applyFont="1" applyFill="1" applyBorder="1" applyAlignment="1" applyProtection="1">
      <alignment horizontal="center"/>
    </xf>
    <xf numFmtId="164" fontId="6" fillId="6" borderId="14" xfId="4" applyNumberFormat="1" applyFont="1" applyFill="1" applyBorder="1" applyAlignment="1" applyProtection="1">
      <alignment horizontal="left"/>
    </xf>
    <xf numFmtId="164" fontId="6" fillId="6" borderId="14" xfId="0" applyNumberFormat="1" applyFont="1" applyFill="1" applyBorder="1" applyAlignment="1" applyProtection="1">
      <alignment horizontal="right"/>
    </xf>
    <xf numFmtId="0" fontId="6" fillId="8" borderId="0" xfId="0" applyFont="1" applyFill="1" applyBorder="1" applyProtection="1"/>
    <xf numFmtId="164" fontId="72" fillId="4" borderId="14" xfId="0" applyNumberFormat="1" applyFont="1" applyFill="1" applyBorder="1" applyAlignment="1" applyProtection="1">
      <alignment horizontal="center"/>
    </xf>
    <xf numFmtId="178" fontId="71" fillId="4" borderId="14" xfId="0" applyNumberFormat="1" applyFont="1" applyFill="1" applyBorder="1" applyAlignment="1" applyProtection="1">
      <alignment horizontal="center"/>
    </xf>
    <xf numFmtId="164" fontId="6" fillId="7" borderId="14" xfId="0" applyNumberFormat="1" applyFont="1" applyFill="1" applyBorder="1" applyAlignment="1" applyProtection="1">
      <alignment horizontal="center"/>
    </xf>
    <xf numFmtId="0" fontId="74" fillId="5" borderId="0" xfId="0" applyFont="1" applyFill="1" applyBorder="1" applyProtection="1"/>
    <xf numFmtId="0" fontId="71" fillId="5" borderId="0" xfId="0" applyFont="1" applyFill="1" applyBorder="1" applyProtection="1"/>
    <xf numFmtId="0" fontId="71" fillId="5" borderId="0" xfId="0" applyFont="1" applyFill="1" applyBorder="1" applyAlignment="1" applyProtection="1"/>
    <xf numFmtId="0" fontId="72" fillId="5" borderId="0" xfId="0" quotePrefix="1" applyFont="1" applyFill="1" applyBorder="1" applyProtection="1"/>
    <xf numFmtId="0" fontId="74" fillId="4" borderId="14" xfId="0" applyFont="1" applyFill="1" applyBorder="1" applyAlignment="1" applyProtection="1"/>
    <xf numFmtId="2" fontId="73" fillId="4" borderId="14" xfId="0" applyNumberFormat="1" applyFont="1" applyFill="1" applyBorder="1" applyAlignment="1" applyProtection="1">
      <alignment horizontal="center"/>
    </xf>
    <xf numFmtId="164" fontId="65" fillId="6" borderId="14" xfId="0" applyNumberFormat="1" applyFont="1" applyFill="1" applyBorder="1" applyAlignment="1" applyProtection="1">
      <alignment horizontal="left"/>
    </xf>
    <xf numFmtId="9" fontId="10" fillId="6" borderId="14" xfId="3" applyFont="1" applyFill="1" applyBorder="1" applyAlignment="1" applyProtection="1">
      <alignment horizontal="center"/>
    </xf>
    <xf numFmtId="0" fontId="74" fillId="0" borderId="0" xfId="0" applyFont="1" applyFill="1" applyBorder="1" applyAlignment="1" applyProtection="1">
      <alignment horizontal="left"/>
    </xf>
    <xf numFmtId="0" fontId="74" fillId="0" borderId="0" xfId="0" applyFont="1" applyFill="1" applyAlignment="1" applyProtection="1">
      <alignment horizontal="left"/>
    </xf>
    <xf numFmtId="0" fontId="71" fillId="5" borderId="0" xfId="0" applyFont="1" applyFill="1" applyBorder="1" applyAlignment="1" applyProtection="1">
      <alignment horizontal="right"/>
    </xf>
    <xf numFmtId="0" fontId="8" fillId="5" borderId="14" xfId="0" applyFont="1" applyFill="1" applyBorder="1" applyProtection="1"/>
    <xf numFmtId="0" fontId="6" fillId="5" borderId="14" xfId="0" applyFont="1" applyFill="1" applyBorder="1" applyProtection="1">
      <protection locked="0"/>
    </xf>
    <xf numFmtId="0" fontId="7" fillId="4" borderId="14" xfId="0" applyNumberFormat="1" applyFont="1" applyFill="1" applyBorder="1" applyAlignment="1" applyProtection="1">
      <alignment horizontal="left"/>
    </xf>
    <xf numFmtId="0" fontId="71" fillId="4" borderId="11" xfId="0" applyFont="1" applyFill="1" applyBorder="1" applyAlignment="1" applyProtection="1">
      <alignment horizontal="left"/>
    </xf>
    <xf numFmtId="0" fontId="74" fillId="4" borderId="14" xfId="0" applyFont="1" applyFill="1" applyBorder="1" applyAlignment="1" applyProtection="1">
      <alignment horizontal="left"/>
    </xf>
    <xf numFmtId="0" fontId="77" fillId="4" borderId="14" xfId="0" applyFont="1" applyFill="1" applyBorder="1" applyAlignment="1" applyProtection="1">
      <alignment horizontal="left"/>
    </xf>
    <xf numFmtId="1" fontId="85" fillId="4" borderId="14" xfId="0" applyNumberFormat="1" applyFont="1" applyFill="1" applyBorder="1" applyAlignment="1" applyProtection="1">
      <alignment horizontal="left"/>
    </xf>
    <xf numFmtId="0" fontId="85" fillId="4" borderId="14" xfId="0" applyFont="1" applyFill="1" applyBorder="1" applyAlignment="1" applyProtection="1">
      <alignment horizontal="left"/>
    </xf>
    <xf numFmtId="167" fontId="71" fillId="4" borderId="14" xfId="0" applyNumberFormat="1" applyFont="1" applyFill="1" applyBorder="1" applyAlignment="1" applyProtection="1"/>
    <xf numFmtId="1" fontId="10" fillId="5" borderId="14" xfId="0" applyNumberFormat="1" applyFont="1" applyFill="1" applyBorder="1" applyAlignment="1" applyProtection="1">
      <alignment horizontal="center"/>
      <protection locked="0"/>
    </xf>
    <xf numFmtId="1" fontId="48" fillId="7" borderId="14" xfId="0" applyNumberFormat="1" applyFont="1" applyFill="1" applyBorder="1" applyAlignment="1" applyProtection="1">
      <alignment horizontal="center"/>
    </xf>
    <xf numFmtId="0" fontId="69" fillId="4" borderId="0" xfId="0" applyFont="1" applyFill="1" applyBorder="1" applyProtection="1"/>
    <xf numFmtId="0" fontId="69" fillId="4" borderId="0" xfId="0" applyFont="1" applyFill="1" applyBorder="1" applyAlignment="1" applyProtection="1">
      <alignment horizontal="center"/>
    </xf>
    <xf numFmtId="0" fontId="86" fillId="4" borderId="0" xfId="0" applyFont="1" applyFill="1" applyBorder="1" applyProtection="1"/>
    <xf numFmtId="0" fontId="86" fillId="4" borderId="0" xfId="0" applyNumberFormat="1" applyFont="1" applyFill="1" applyBorder="1" applyProtection="1"/>
    <xf numFmtId="0" fontId="69" fillId="4" borderId="0" xfId="0" applyNumberFormat="1" applyFont="1" applyFill="1" applyBorder="1" applyProtection="1"/>
    <xf numFmtId="0" fontId="87" fillId="4" borderId="0" xfId="0" applyFont="1" applyFill="1" applyBorder="1" applyProtection="1"/>
    <xf numFmtId="0" fontId="87" fillId="4" borderId="0" xfId="0" applyNumberFormat="1" applyFont="1" applyFill="1" applyBorder="1" applyProtection="1"/>
    <xf numFmtId="2" fontId="69" fillId="4" borderId="0" xfId="0" applyNumberFormat="1" applyFont="1" applyFill="1" applyBorder="1" applyAlignment="1" applyProtection="1">
      <alignment horizontal="center"/>
    </xf>
    <xf numFmtId="1" fontId="79" fillId="4" borderId="0" xfId="0" applyNumberFormat="1" applyFont="1" applyFill="1" applyBorder="1" applyAlignment="1" applyProtection="1">
      <alignment horizontal="center"/>
    </xf>
    <xf numFmtId="1" fontId="6" fillId="5" borderId="14" xfId="0" applyNumberFormat="1" applyFont="1" applyFill="1" applyBorder="1" applyAlignment="1" applyProtection="1">
      <alignment horizontal="center"/>
      <protection locked="0"/>
    </xf>
    <xf numFmtId="1" fontId="7" fillId="7" borderId="17" xfId="0" applyNumberFormat="1" applyFont="1" applyFill="1" applyBorder="1" applyAlignment="1" applyProtection="1">
      <alignment horizontal="center"/>
    </xf>
    <xf numFmtId="1" fontId="6" fillId="6" borderId="14" xfId="4" applyNumberFormat="1" applyFont="1" applyFill="1" applyBorder="1" applyAlignment="1" applyProtection="1">
      <alignment horizontal="center"/>
    </xf>
    <xf numFmtId="1" fontId="69" fillId="4" borderId="0" xfId="0" applyNumberFormat="1" applyFont="1" applyFill="1" applyBorder="1" applyAlignment="1" applyProtection="1">
      <alignment horizontal="center"/>
    </xf>
    <xf numFmtId="0" fontId="86" fillId="4" borderId="0" xfId="0" applyFont="1" applyFill="1" applyBorder="1" applyAlignment="1" applyProtection="1">
      <alignment horizontal="center"/>
    </xf>
    <xf numFmtId="1" fontId="86" fillId="4" borderId="0" xfId="0" applyNumberFormat="1" applyFont="1" applyFill="1" applyBorder="1" applyAlignment="1" applyProtection="1">
      <alignment horizontal="center"/>
    </xf>
    <xf numFmtId="0" fontId="87" fillId="4" borderId="0" xfId="0" applyFont="1" applyFill="1" applyBorder="1" applyAlignment="1" applyProtection="1">
      <alignment horizontal="center"/>
    </xf>
    <xf numFmtId="1" fontId="87" fillId="4" borderId="0" xfId="0" applyNumberFormat="1" applyFont="1" applyFill="1" applyBorder="1" applyAlignment="1" applyProtection="1">
      <alignment horizontal="center"/>
    </xf>
    <xf numFmtId="0" fontId="69" fillId="4" borderId="0" xfId="0" applyFont="1" applyFill="1" applyBorder="1" applyAlignment="1" applyProtection="1">
      <alignment horizontal="left"/>
    </xf>
    <xf numFmtId="1" fontId="70" fillId="4" borderId="0" xfId="0" applyNumberFormat="1" applyFont="1" applyFill="1" applyBorder="1" applyAlignment="1" applyProtection="1">
      <alignment horizontal="center"/>
    </xf>
    <xf numFmtId="0" fontId="70" fillId="4" borderId="0" xfId="0" applyFont="1" applyFill="1" applyBorder="1" applyAlignment="1" applyProtection="1">
      <alignment horizontal="center"/>
    </xf>
    <xf numFmtId="167" fontId="69" fillId="4" borderId="0" xfId="4" applyNumberFormat="1" applyFont="1" applyFill="1" applyBorder="1" applyProtection="1"/>
    <xf numFmtId="1" fontId="10" fillId="5" borderId="14" xfId="4" applyNumberFormat="1" applyFont="1" applyFill="1" applyBorder="1" applyAlignment="1" applyProtection="1">
      <alignment horizontal="center"/>
      <protection locked="0"/>
    </xf>
    <xf numFmtId="1" fontId="48" fillId="7" borderId="14" xfId="0" applyNumberFormat="1" applyFont="1" applyFill="1" applyBorder="1" applyAlignment="1" applyProtection="1">
      <alignment horizontal="center"/>
      <protection locked="0"/>
    </xf>
    <xf numFmtId="0" fontId="80" fillId="4" borderId="0" xfId="0" applyFont="1" applyFill="1" applyBorder="1" applyProtection="1"/>
    <xf numFmtId="167" fontId="80" fillId="4" borderId="0" xfId="0" applyNumberFormat="1" applyFont="1" applyFill="1" applyBorder="1" applyAlignment="1" applyProtection="1">
      <alignment horizontal="center"/>
    </xf>
    <xf numFmtId="0" fontId="80" fillId="4" borderId="0" xfId="0" applyNumberFormat="1" applyFont="1" applyFill="1" applyBorder="1" applyAlignment="1" applyProtection="1"/>
    <xf numFmtId="0" fontId="80" fillId="4" borderId="0" xfId="0" applyFont="1" applyFill="1" applyBorder="1" applyAlignment="1" applyProtection="1">
      <alignment horizontal="center"/>
    </xf>
    <xf numFmtId="169" fontId="80" fillId="4" borderId="0" xfId="0" applyNumberFormat="1" applyFont="1" applyFill="1" applyBorder="1" applyProtection="1"/>
    <xf numFmtId="2" fontId="80" fillId="4" borderId="0" xfId="0" applyNumberFormat="1" applyFont="1" applyFill="1" applyBorder="1" applyProtection="1"/>
    <xf numFmtId="164" fontId="79" fillId="4" borderId="0" xfId="0" applyNumberFormat="1" applyFont="1" applyFill="1" applyBorder="1" applyProtection="1"/>
    <xf numFmtId="0" fontId="88" fillId="4" borderId="0" xfId="0" applyNumberFormat="1" applyFont="1" applyFill="1" applyBorder="1" applyAlignment="1" applyProtection="1"/>
    <xf numFmtId="0" fontId="88" fillId="4" borderId="0" xfId="0" applyFont="1" applyFill="1" applyBorder="1" applyProtection="1"/>
    <xf numFmtId="0" fontId="88" fillId="4" borderId="0" xfId="0" applyNumberFormat="1" applyFont="1" applyFill="1" applyBorder="1" applyProtection="1"/>
    <xf numFmtId="164" fontId="88" fillId="4" borderId="0" xfId="0" applyNumberFormat="1" applyFont="1" applyFill="1" applyBorder="1" applyProtection="1"/>
    <xf numFmtId="2" fontId="88" fillId="4" borderId="0" xfId="0" applyNumberFormat="1" applyFont="1" applyFill="1" applyBorder="1" applyProtection="1"/>
    <xf numFmtId="0" fontId="88" fillId="4" borderId="0" xfId="0" applyNumberFormat="1" applyFont="1" applyFill="1" applyBorder="1" applyAlignment="1" applyProtection="1">
      <alignment horizontal="center"/>
    </xf>
    <xf numFmtId="171" fontId="88" fillId="4" borderId="0" xfId="0" applyNumberFormat="1" applyFont="1" applyFill="1" applyBorder="1" applyProtection="1"/>
    <xf numFmtId="0" fontId="80" fillId="4" borderId="0" xfId="0" applyNumberFormat="1" applyFont="1" applyFill="1" applyBorder="1" applyProtection="1"/>
    <xf numFmtId="164" fontId="80" fillId="4" borderId="0" xfId="0" applyNumberFormat="1" applyFont="1" applyFill="1" applyBorder="1" applyProtection="1"/>
    <xf numFmtId="0" fontId="80" fillId="4" borderId="0" xfId="0" applyNumberFormat="1" applyFont="1" applyFill="1" applyBorder="1" applyAlignment="1" applyProtection="1">
      <alignment horizontal="center"/>
    </xf>
    <xf numFmtId="171" fontId="80" fillId="4" borderId="0" xfId="0" applyNumberFormat="1" applyFont="1" applyFill="1" applyBorder="1" applyProtection="1"/>
    <xf numFmtId="0" fontId="89" fillId="4" borderId="0" xfId="0" applyNumberFormat="1" applyFont="1" applyFill="1" applyBorder="1" applyAlignment="1" applyProtection="1"/>
    <xf numFmtId="0" fontId="89" fillId="4" borderId="0" xfId="0" applyFont="1" applyFill="1" applyBorder="1" applyProtection="1"/>
    <xf numFmtId="0" fontId="89" fillId="4" borderId="0" xfId="0" applyNumberFormat="1" applyFont="1" applyFill="1" applyBorder="1" applyProtection="1"/>
    <xf numFmtId="164" fontId="89" fillId="4" borderId="0" xfId="0" applyNumberFormat="1" applyFont="1" applyFill="1" applyBorder="1" applyProtection="1"/>
    <xf numFmtId="2" fontId="89" fillId="4" borderId="0" xfId="0" applyNumberFormat="1" applyFont="1" applyFill="1" applyBorder="1" applyProtection="1"/>
    <xf numFmtId="164" fontId="90" fillId="4" borderId="0" xfId="0" applyNumberFormat="1" applyFont="1" applyFill="1" applyBorder="1" applyProtection="1"/>
    <xf numFmtId="0" fontId="89" fillId="4" borderId="0" xfId="0" applyNumberFormat="1" applyFont="1" applyFill="1" applyBorder="1" applyAlignment="1" applyProtection="1">
      <alignment horizontal="center"/>
    </xf>
    <xf numFmtId="171" fontId="89" fillId="4" borderId="0" xfId="0" applyNumberFormat="1" applyFont="1" applyFill="1" applyBorder="1" applyProtection="1"/>
    <xf numFmtId="171" fontId="80" fillId="4" borderId="0" xfId="0" applyNumberFormat="1" applyFont="1" applyFill="1" applyBorder="1" applyAlignment="1" applyProtection="1">
      <alignment horizontal="center"/>
    </xf>
    <xf numFmtId="2" fontId="77" fillId="4" borderId="0" xfId="0" applyNumberFormat="1" applyFont="1" applyFill="1" applyBorder="1" applyAlignment="1" applyProtection="1">
      <alignment horizontal="center"/>
    </xf>
    <xf numFmtId="0" fontId="78" fillId="4" borderId="0" xfId="0" applyFont="1" applyFill="1" applyBorder="1" applyAlignment="1" applyProtection="1">
      <alignment horizontal="center"/>
    </xf>
    <xf numFmtId="2" fontId="79" fillId="4" borderId="0" xfId="0" applyNumberFormat="1" applyFont="1" applyFill="1" applyBorder="1" applyAlignment="1" applyProtection="1">
      <alignment horizontal="center"/>
    </xf>
    <xf numFmtId="164" fontId="79" fillId="4" borderId="0" xfId="0" applyNumberFormat="1" applyFont="1" applyFill="1" applyBorder="1" applyAlignment="1" applyProtection="1">
      <alignment horizontal="center"/>
    </xf>
    <xf numFmtId="174" fontId="80" fillId="4" borderId="0" xfId="0" applyNumberFormat="1" applyFont="1" applyFill="1" applyBorder="1" applyAlignment="1" applyProtection="1">
      <alignment horizontal="center"/>
    </xf>
    <xf numFmtId="167" fontId="80" fillId="4" borderId="0" xfId="4" applyNumberFormat="1" applyFont="1" applyFill="1" applyBorder="1" applyAlignment="1" applyProtection="1"/>
    <xf numFmtId="9" fontId="80" fillId="4" borderId="0" xfId="3" applyFont="1" applyFill="1" applyBorder="1" applyAlignment="1" applyProtection="1">
      <alignment horizontal="center"/>
    </xf>
    <xf numFmtId="2" fontId="80" fillId="4" borderId="0" xfId="0" applyNumberFormat="1" applyFont="1" applyFill="1" applyBorder="1" applyAlignment="1" applyProtection="1">
      <alignment horizontal="center"/>
    </xf>
    <xf numFmtId="167" fontId="77" fillId="4" borderId="0" xfId="0" applyNumberFormat="1" applyFont="1" applyFill="1" applyBorder="1" applyProtection="1"/>
    <xf numFmtId="2" fontId="77" fillId="4" borderId="0" xfId="0" applyNumberFormat="1" applyFont="1" applyFill="1" applyBorder="1" applyProtection="1"/>
    <xf numFmtId="164" fontId="78" fillId="4" borderId="0" xfId="0" applyNumberFormat="1" applyFont="1" applyFill="1" applyBorder="1" applyProtection="1"/>
    <xf numFmtId="167" fontId="79" fillId="4" borderId="0" xfId="0" applyNumberFormat="1" applyFont="1" applyFill="1" applyBorder="1" applyAlignment="1" applyProtection="1">
      <alignment horizontal="center"/>
    </xf>
    <xf numFmtId="0" fontId="77" fillId="4" borderId="0" xfId="0" quotePrefix="1" applyFont="1" applyFill="1" applyBorder="1" applyAlignment="1" applyProtection="1">
      <alignment horizontal="right"/>
    </xf>
    <xf numFmtId="167" fontId="80" fillId="4" borderId="0" xfId="4" applyNumberFormat="1" applyFont="1" applyFill="1" applyBorder="1" applyProtection="1"/>
    <xf numFmtId="0" fontId="77" fillId="4" borderId="0" xfId="0" applyNumberFormat="1" applyFont="1" applyFill="1" applyBorder="1" applyAlignment="1" applyProtection="1"/>
    <xf numFmtId="0" fontId="77" fillId="4" borderId="0" xfId="0" applyFont="1" applyFill="1" applyBorder="1" applyProtection="1"/>
    <xf numFmtId="171" fontId="88" fillId="4" borderId="0" xfId="0" applyNumberFormat="1" applyFont="1" applyFill="1" applyBorder="1" applyAlignment="1" applyProtection="1">
      <alignment horizontal="center"/>
    </xf>
    <xf numFmtId="0" fontId="91" fillId="4" borderId="0" xfId="0" applyNumberFormat="1" applyFont="1" applyFill="1" applyBorder="1" applyAlignment="1" applyProtection="1"/>
    <xf numFmtId="0" fontId="91" fillId="4" borderId="0" xfId="0" applyFont="1" applyFill="1" applyBorder="1" applyProtection="1"/>
    <xf numFmtId="2" fontId="91" fillId="4" borderId="0" xfId="0" applyNumberFormat="1" applyFont="1" applyFill="1" applyBorder="1" applyProtection="1"/>
    <xf numFmtId="164" fontId="92" fillId="4" borderId="0" xfId="0" applyNumberFormat="1" applyFont="1" applyFill="1" applyBorder="1" applyProtection="1"/>
    <xf numFmtId="171" fontId="89" fillId="4" borderId="0" xfId="0" applyNumberFormat="1" applyFont="1" applyFill="1" applyBorder="1" applyAlignment="1" applyProtection="1">
      <alignment horizontal="center"/>
    </xf>
    <xf numFmtId="167" fontId="77" fillId="4" borderId="0" xfId="4" applyNumberFormat="1" applyFont="1" applyFill="1" applyBorder="1" applyAlignment="1" applyProtection="1"/>
    <xf numFmtId="9" fontId="77" fillId="4" borderId="0" xfId="3" applyFont="1" applyFill="1" applyBorder="1" applyAlignment="1" applyProtection="1">
      <alignment horizontal="center"/>
    </xf>
    <xf numFmtId="164" fontId="78" fillId="4" borderId="0" xfId="0" applyNumberFormat="1" applyFont="1" applyFill="1" applyBorder="1" applyAlignment="1" applyProtection="1">
      <alignment horizontal="center"/>
    </xf>
    <xf numFmtId="0" fontId="77" fillId="4" borderId="0" xfId="0" applyNumberFormat="1" applyFont="1" applyFill="1" applyBorder="1" applyAlignment="1" applyProtection="1">
      <alignment horizontal="center"/>
    </xf>
    <xf numFmtId="167" fontId="77" fillId="4" borderId="0" xfId="4" applyNumberFormat="1" applyFont="1" applyFill="1" applyBorder="1" applyProtection="1"/>
    <xf numFmtId="0" fontId="88" fillId="4" borderId="0" xfId="0" applyFont="1" applyFill="1" applyBorder="1" applyAlignment="1" applyProtection="1">
      <alignment horizontal="center"/>
    </xf>
    <xf numFmtId="0" fontId="92" fillId="4" borderId="0" xfId="0" applyFont="1" applyFill="1" applyBorder="1" applyAlignment="1" applyProtection="1">
      <alignment horizontal="center"/>
    </xf>
    <xf numFmtId="0" fontId="80" fillId="4" borderId="0" xfId="0" applyFont="1" applyFill="1" applyBorder="1" applyAlignment="1" applyProtection="1">
      <alignment horizontal="left"/>
    </xf>
    <xf numFmtId="22" fontId="80" fillId="4" borderId="0" xfId="0" applyNumberFormat="1" applyFont="1" applyFill="1" applyBorder="1" applyAlignment="1" applyProtection="1">
      <alignment horizontal="center"/>
    </xf>
    <xf numFmtId="0" fontId="77" fillId="4" borderId="0" xfId="0" applyFont="1" applyFill="1" applyBorder="1" applyAlignment="1" applyProtection="1">
      <alignment horizontal="center"/>
    </xf>
    <xf numFmtId="164" fontId="77" fillId="4" borderId="0" xfId="0" applyNumberFormat="1" applyFont="1" applyFill="1" applyBorder="1" applyAlignment="1" applyProtection="1">
      <alignment horizontal="right"/>
    </xf>
    <xf numFmtId="2" fontId="77" fillId="4" borderId="0" xfId="0" applyNumberFormat="1" applyFont="1" applyFill="1" applyBorder="1" applyAlignment="1" applyProtection="1">
      <alignment horizontal="right"/>
    </xf>
    <xf numFmtId="164" fontId="78" fillId="4" borderId="0" xfId="0" applyNumberFormat="1" applyFont="1" applyFill="1" applyBorder="1" applyAlignment="1" applyProtection="1">
      <alignment horizontal="right"/>
    </xf>
    <xf numFmtId="1" fontId="7" fillId="6" borderId="14" xfId="4" applyNumberFormat="1" applyFont="1" applyFill="1" applyBorder="1" applyAlignment="1" applyProtection="1">
      <alignment horizontal="center"/>
    </xf>
    <xf numFmtId="165" fontId="80" fillId="4" borderId="0" xfId="4" applyNumberFormat="1" applyFont="1" applyFill="1" applyBorder="1" applyProtection="1"/>
    <xf numFmtId="167" fontId="79" fillId="4" borderId="0" xfId="0" applyNumberFormat="1" applyFont="1" applyFill="1" applyBorder="1" applyAlignment="1" applyProtection="1"/>
    <xf numFmtId="1" fontId="80" fillId="4" borderId="0" xfId="4" applyNumberFormat="1" applyFont="1" applyFill="1" applyBorder="1" applyAlignment="1" applyProtection="1">
      <alignment horizontal="center"/>
      <protection locked="0"/>
    </xf>
    <xf numFmtId="174" fontId="79" fillId="4" borderId="0" xfId="0" applyNumberFormat="1" applyFont="1" applyFill="1" applyBorder="1" applyAlignment="1" applyProtection="1">
      <alignment horizontal="center"/>
    </xf>
    <xf numFmtId="167" fontId="80" fillId="4" borderId="0" xfId="0" applyNumberFormat="1" applyFont="1" applyFill="1" applyBorder="1" applyProtection="1"/>
    <xf numFmtId="164" fontId="80" fillId="4" borderId="0" xfId="0" applyNumberFormat="1" applyFont="1" applyFill="1" applyBorder="1" applyAlignment="1" applyProtection="1">
      <alignment horizontal="right"/>
    </xf>
    <xf numFmtId="0" fontId="93" fillId="4" borderId="0" xfId="0" applyFont="1" applyFill="1" applyBorder="1" applyProtection="1"/>
    <xf numFmtId="1" fontId="94" fillId="4" borderId="14" xfId="0" applyNumberFormat="1" applyFont="1" applyFill="1" applyBorder="1" applyAlignment="1" applyProtection="1">
      <alignment horizontal="left"/>
    </xf>
    <xf numFmtId="0" fontId="94" fillId="4" borderId="14" xfId="0" applyFont="1" applyFill="1" applyBorder="1" applyAlignment="1" applyProtection="1">
      <alignment horizontal="left"/>
    </xf>
    <xf numFmtId="0" fontId="72" fillId="4" borderId="0" xfId="0" applyNumberFormat="1" applyFont="1" applyFill="1" applyBorder="1" applyAlignment="1" applyProtection="1">
      <alignment horizontal="center"/>
    </xf>
    <xf numFmtId="0" fontId="95" fillId="4" borderId="0" xfId="0" applyFont="1" applyFill="1" applyBorder="1" applyAlignment="1" applyProtection="1">
      <alignment horizontal="left"/>
    </xf>
    <xf numFmtId="1" fontId="95" fillId="4" borderId="0" xfId="0" applyNumberFormat="1" applyFont="1" applyFill="1" applyBorder="1" applyAlignment="1" applyProtection="1">
      <alignment horizontal="left"/>
    </xf>
    <xf numFmtId="1" fontId="73" fillId="4" borderId="14" xfId="0" applyNumberFormat="1" applyFont="1" applyFill="1" applyBorder="1" applyAlignment="1" applyProtection="1">
      <alignment horizontal="center"/>
    </xf>
    <xf numFmtId="0" fontId="71" fillId="4" borderId="0" xfId="0" applyNumberFormat="1" applyFont="1" applyFill="1" applyBorder="1" applyAlignment="1" applyProtection="1">
      <alignment horizontal="center"/>
    </xf>
    <xf numFmtId="0" fontId="44" fillId="0" borderId="0" xfId="0" applyFont="1" applyFill="1" applyBorder="1" applyAlignment="1" applyProtection="1">
      <alignment horizontal="left"/>
    </xf>
    <xf numFmtId="177" fontId="8" fillId="4" borderId="14" xfId="0" applyNumberFormat="1" applyFont="1" applyFill="1" applyBorder="1" applyAlignment="1" applyProtection="1">
      <alignment horizontal="left"/>
    </xf>
    <xf numFmtId="0" fontId="46" fillId="4" borderId="11" xfId="0" applyFont="1" applyFill="1" applyBorder="1" applyAlignment="1" applyProtection="1"/>
    <xf numFmtId="0" fontId="78" fillId="4" borderId="14" xfId="0" applyFont="1" applyFill="1" applyBorder="1" applyProtection="1"/>
    <xf numFmtId="0" fontId="73" fillId="4" borderId="14" xfId="0" applyFont="1" applyFill="1" applyBorder="1" applyAlignment="1" applyProtection="1">
      <alignment horizontal="center"/>
    </xf>
    <xf numFmtId="0" fontId="46" fillId="4" borderId="14" xfId="0" applyFont="1" applyFill="1" applyBorder="1" applyAlignment="1" applyProtection="1"/>
    <xf numFmtId="9" fontId="6" fillId="6" borderId="14" xfId="0" applyNumberFormat="1" applyFont="1" applyFill="1" applyBorder="1" applyAlignment="1" applyProtection="1">
      <alignment horizontal="center"/>
    </xf>
    <xf numFmtId="0" fontId="96" fillId="4" borderId="14" xfId="0" applyFont="1" applyFill="1" applyBorder="1" applyProtection="1"/>
    <xf numFmtId="0" fontId="6" fillId="4" borderId="13" xfId="0" applyFont="1" applyFill="1" applyBorder="1" applyAlignment="1" applyProtection="1">
      <alignment horizontal="center"/>
    </xf>
    <xf numFmtId="0" fontId="12" fillId="3" borderId="0" xfId="0" applyFont="1" applyFill="1" applyBorder="1" applyProtection="1"/>
    <xf numFmtId="0" fontId="46" fillId="5" borderId="0" xfId="0" applyFont="1" applyFill="1" applyBorder="1" applyAlignment="1" applyProtection="1"/>
    <xf numFmtId="164" fontId="97" fillId="4" borderId="14" xfId="0" applyNumberFormat="1" applyFont="1" applyFill="1" applyBorder="1" applyProtection="1"/>
    <xf numFmtId="167" fontId="6" fillId="6" borderId="14" xfId="4" applyNumberFormat="1" applyFont="1" applyFill="1" applyBorder="1" applyAlignment="1" applyProtection="1">
      <alignment horizontal="center"/>
    </xf>
    <xf numFmtId="9" fontId="6" fillId="6" borderId="14" xfId="3" applyFont="1" applyFill="1" applyBorder="1" applyAlignment="1" applyProtection="1">
      <alignment horizontal="center"/>
    </xf>
    <xf numFmtId="2" fontId="6" fillId="6" borderId="14" xfId="0" applyNumberFormat="1" applyFont="1" applyFill="1" applyBorder="1" applyAlignment="1" applyProtection="1">
      <alignment horizontal="center"/>
    </xf>
    <xf numFmtId="0" fontId="8" fillId="4" borderId="14" xfId="0" applyNumberFormat="1" applyFont="1" applyFill="1" applyBorder="1" applyProtection="1"/>
    <xf numFmtId="0" fontId="12" fillId="4" borderId="14" xfId="0" applyNumberFormat="1" applyFont="1" applyFill="1" applyBorder="1" applyProtection="1"/>
    <xf numFmtId="164" fontId="6" fillId="5" borderId="0" xfId="0" applyNumberFormat="1" applyFont="1" applyFill="1" applyBorder="1" applyAlignment="1" applyProtection="1"/>
    <xf numFmtId="164" fontId="6" fillId="4" borderId="10" xfId="0" applyNumberFormat="1" applyFont="1" applyFill="1" applyBorder="1" applyProtection="1"/>
    <xf numFmtId="164" fontId="72" fillId="4" borderId="11" xfId="0" applyNumberFormat="1" applyFont="1" applyFill="1" applyBorder="1" applyAlignment="1" applyProtection="1"/>
    <xf numFmtId="164" fontId="72" fillId="4" borderId="11" xfId="0" applyNumberFormat="1" applyFont="1" applyFill="1" applyBorder="1" applyAlignment="1" applyProtection="1">
      <alignment horizontal="center"/>
    </xf>
    <xf numFmtId="0" fontId="73" fillId="4" borderId="14" xfId="0" applyFont="1" applyFill="1" applyBorder="1" applyProtection="1"/>
    <xf numFmtId="0" fontId="6" fillId="4" borderId="17" xfId="0" applyFont="1" applyFill="1" applyBorder="1" applyAlignment="1" applyProtection="1"/>
    <xf numFmtId="0" fontId="44" fillId="4" borderId="17" xfId="0" applyNumberFormat="1" applyFont="1" applyFill="1" applyBorder="1" applyAlignment="1" applyProtection="1">
      <alignment horizontal="center"/>
    </xf>
    <xf numFmtId="0" fontId="6" fillId="4" borderId="11" xfId="0" applyFont="1" applyFill="1" applyBorder="1" applyAlignment="1" applyProtection="1"/>
    <xf numFmtId="164" fontId="6" fillId="4" borderId="11" xfId="0" applyNumberFormat="1" applyFont="1" applyFill="1" applyBorder="1" applyAlignment="1" applyProtection="1">
      <alignment horizontal="center"/>
    </xf>
    <xf numFmtId="0" fontId="46" fillId="4" borderId="14" xfId="0" applyNumberFormat="1" applyFont="1" applyFill="1" applyBorder="1" applyAlignment="1" applyProtection="1"/>
    <xf numFmtId="174" fontId="6" fillId="6" borderId="14" xfId="3" applyNumberFormat="1" applyFont="1" applyFill="1" applyBorder="1" applyAlignment="1" applyProtection="1">
      <alignment horizontal="center"/>
    </xf>
    <xf numFmtId="2" fontId="12" fillId="6" borderId="14" xfId="0" applyNumberFormat="1" applyFont="1" applyFill="1" applyBorder="1" applyAlignment="1" applyProtection="1">
      <alignment horizontal="center"/>
    </xf>
    <xf numFmtId="0" fontId="6" fillId="5" borderId="0" xfId="0" applyFont="1" applyFill="1" applyBorder="1" applyAlignment="1" applyProtection="1"/>
    <xf numFmtId="0" fontId="44" fillId="5" borderId="0" xfId="0" applyNumberFormat="1" applyFont="1" applyFill="1" applyBorder="1" applyAlignment="1" applyProtection="1">
      <alignment horizontal="center"/>
    </xf>
    <xf numFmtId="0" fontId="96" fillId="4" borderId="0" xfId="0" applyFont="1" applyFill="1" applyBorder="1" applyProtection="1"/>
    <xf numFmtId="0" fontId="53" fillId="4" borderId="14" xfId="0" applyFont="1" applyFill="1" applyBorder="1" applyAlignment="1" applyProtection="1">
      <alignment horizontal="left"/>
    </xf>
    <xf numFmtId="1" fontId="6" fillId="4" borderId="14" xfId="0" applyNumberFormat="1" applyFont="1" applyFill="1" applyBorder="1" applyProtection="1"/>
    <xf numFmtId="0" fontId="76" fillId="4" borderId="14" xfId="0" applyFont="1" applyFill="1" applyBorder="1" applyAlignment="1" applyProtection="1">
      <alignment horizontal="left"/>
      <protection locked="0"/>
    </xf>
    <xf numFmtId="0" fontId="6" fillId="0" borderId="0" xfId="0" applyFont="1" applyFill="1" applyAlignment="1"/>
    <xf numFmtId="0" fontId="6" fillId="5" borderId="0" xfId="0" applyNumberFormat="1" applyFont="1" applyFill="1" applyBorder="1" applyAlignment="1" applyProtection="1">
      <alignment horizontal="left"/>
    </xf>
    <xf numFmtId="44" fontId="6" fillId="0" borderId="0" xfId="0" applyNumberFormat="1" applyFont="1" applyAlignment="1" applyProtection="1">
      <alignment horizontal="left"/>
    </xf>
    <xf numFmtId="3" fontId="6" fillId="6" borderId="0" xfId="0" applyNumberFormat="1" applyFont="1" applyFill="1" applyBorder="1" applyAlignment="1" applyProtection="1">
      <alignment horizontal="left"/>
      <protection locked="0"/>
    </xf>
    <xf numFmtId="3" fontId="7" fillId="6" borderId="0" xfId="0" applyNumberFormat="1" applyFont="1" applyFill="1" applyBorder="1" applyAlignment="1" applyProtection="1">
      <alignment horizontal="left"/>
      <protection locked="0"/>
    </xf>
    <xf numFmtId="3" fontId="67" fillId="6" borderId="0" xfId="0" applyNumberFormat="1" applyFont="1" applyFill="1" applyBorder="1" applyAlignment="1" applyProtection="1">
      <alignment horizontal="left"/>
      <protection locked="0"/>
    </xf>
    <xf numFmtId="3" fontId="44" fillId="6" borderId="0" xfId="0" applyNumberFormat="1" applyFont="1" applyFill="1" applyBorder="1" applyAlignment="1" applyProtection="1">
      <alignment horizontal="left"/>
      <protection locked="0"/>
    </xf>
    <xf numFmtId="3" fontId="45" fillId="6" borderId="0" xfId="0" applyNumberFormat="1" applyFont="1" applyFill="1" applyBorder="1" applyAlignment="1" applyProtection="1">
      <alignment horizontal="left"/>
      <protection locked="0"/>
    </xf>
    <xf numFmtId="3" fontId="99" fillId="6" borderId="0" xfId="0" applyNumberFormat="1" applyFont="1" applyFill="1" applyBorder="1" applyAlignment="1" applyProtection="1">
      <alignment horizontal="left"/>
      <protection locked="0"/>
    </xf>
    <xf numFmtId="0" fontId="72" fillId="4" borderId="10" xfId="0" applyFont="1" applyFill="1" applyBorder="1" applyProtection="1"/>
    <xf numFmtId="165" fontId="71" fillId="4" borderId="12" xfId="4" applyNumberFormat="1" applyFont="1" applyFill="1" applyBorder="1" applyProtection="1"/>
    <xf numFmtId="165" fontId="71" fillId="4" borderId="0" xfId="4" applyNumberFormat="1" applyFont="1" applyFill="1" applyBorder="1" applyProtection="1"/>
    <xf numFmtId="167" fontId="73" fillId="4" borderId="0" xfId="4" applyNumberFormat="1" applyFont="1" applyFill="1" applyBorder="1" applyAlignment="1" applyProtection="1">
      <alignment horizontal="left"/>
    </xf>
    <xf numFmtId="167" fontId="74" fillId="4" borderId="0" xfId="4" applyNumberFormat="1" applyFont="1" applyFill="1" applyBorder="1" applyAlignment="1" applyProtection="1">
      <alignment horizontal="left"/>
    </xf>
    <xf numFmtId="165" fontId="73" fillId="4" borderId="12" xfId="4" applyNumberFormat="1" applyFont="1" applyFill="1" applyBorder="1" applyAlignment="1" applyProtection="1">
      <alignment horizontal="left"/>
    </xf>
    <xf numFmtId="165" fontId="73" fillId="4" borderId="0" xfId="4" applyFont="1" applyFill="1" applyBorder="1" applyAlignment="1" applyProtection="1">
      <alignment horizontal="left"/>
    </xf>
    <xf numFmtId="165" fontId="72" fillId="4" borderId="0" xfId="4" applyFont="1" applyFill="1" applyBorder="1" applyAlignment="1" applyProtection="1">
      <alignment horizontal="left"/>
    </xf>
    <xf numFmtId="0" fontId="73" fillId="4" borderId="0" xfId="0" applyFont="1" applyFill="1" applyBorder="1" applyAlignment="1" applyProtection="1">
      <alignment horizontal="left"/>
    </xf>
    <xf numFmtId="0" fontId="73" fillId="4" borderId="0" xfId="0" applyFont="1" applyFill="1" applyBorder="1" applyProtection="1"/>
    <xf numFmtId="0" fontId="71" fillId="4" borderId="0" xfId="0" applyNumberFormat="1" applyFont="1" applyFill="1" applyBorder="1" applyAlignment="1" applyProtection="1">
      <alignment horizontal="left"/>
    </xf>
    <xf numFmtId="167" fontId="71" fillId="4" borderId="0" xfId="4" applyNumberFormat="1" applyFont="1" applyFill="1" applyBorder="1" applyAlignment="1" applyProtection="1">
      <alignment horizontal="center"/>
    </xf>
    <xf numFmtId="165" fontId="71" fillId="4" borderId="12" xfId="4" applyNumberFormat="1" applyFont="1" applyFill="1" applyBorder="1" applyAlignment="1" applyProtection="1">
      <alignment horizontal="center"/>
    </xf>
    <xf numFmtId="165" fontId="71" fillId="4" borderId="0" xfId="4" applyFont="1" applyFill="1" applyBorder="1" applyAlignment="1" applyProtection="1">
      <alignment horizontal="center"/>
    </xf>
    <xf numFmtId="167" fontId="6" fillId="9" borderId="14" xfId="4" applyNumberFormat="1" applyFont="1" applyFill="1" applyBorder="1" applyAlignment="1" applyProtection="1">
      <alignment horizontal="left" vertical="top" wrapText="1"/>
      <protection locked="0"/>
    </xf>
    <xf numFmtId="167" fontId="7" fillId="9" borderId="15" xfId="4" applyNumberFormat="1" applyFont="1" applyFill="1" applyBorder="1" applyAlignment="1" applyProtection="1">
      <alignment horizontal="left" vertical="top" wrapText="1"/>
      <protection locked="0"/>
    </xf>
    <xf numFmtId="167" fontId="6" fillId="10" borderId="0" xfId="4" applyNumberFormat="1" applyFont="1" applyFill="1" applyBorder="1" applyAlignment="1" applyProtection="1">
      <alignment horizontal="left" vertical="top" wrapText="1"/>
      <protection locked="0"/>
    </xf>
    <xf numFmtId="165" fontId="6" fillId="10" borderId="0" xfId="4" applyFont="1" applyFill="1" applyBorder="1" applyAlignment="1" applyProtection="1">
      <alignment horizontal="left" vertical="top" wrapText="1"/>
      <protection locked="0"/>
    </xf>
    <xf numFmtId="167" fontId="7" fillId="10" borderId="15" xfId="4" applyNumberFormat="1" applyFont="1" applyFill="1" applyBorder="1" applyAlignment="1" applyProtection="1">
      <alignment horizontal="left" vertical="top" wrapText="1"/>
      <protection locked="0"/>
    </xf>
    <xf numFmtId="0" fontId="7" fillId="5" borderId="0" xfId="0" applyFont="1" applyFill="1"/>
    <xf numFmtId="2" fontId="10" fillId="4" borderId="0" xfId="0" applyNumberFormat="1" applyFont="1" applyFill="1" applyProtection="1"/>
    <xf numFmtId="44" fontId="100" fillId="0" borderId="0" xfId="0" applyNumberFormat="1" applyFont="1" applyFill="1" applyBorder="1" applyAlignment="1" applyProtection="1">
      <alignment horizontal="left"/>
    </xf>
    <xf numFmtId="0" fontId="68" fillId="5" borderId="6" xfId="0" applyFont="1" applyFill="1" applyBorder="1" applyProtection="1"/>
    <xf numFmtId="0" fontId="72" fillId="5" borderId="5" xfId="0" applyFont="1" applyFill="1" applyBorder="1" applyProtection="1"/>
    <xf numFmtId="0" fontId="72" fillId="5" borderId="6" xfId="0" applyFont="1" applyFill="1" applyBorder="1" applyProtection="1"/>
    <xf numFmtId="0" fontId="71" fillId="5" borderId="5" xfId="0" applyFont="1" applyFill="1" applyBorder="1" applyAlignment="1" applyProtection="1">
      <alignment horizontal="center"/>
    </xf>
    <xf numFmtId="0" fontId="71" fillId="5" borderId="6" xfId="0" applyFont="1" applyFill="1" applyBorder="1" applyAlignment="1" applyProtection="1">
      <alignment horizontal="center"/>
    </xf>
    <xf numFmtId="0" fontId="19" fillId="5" borderId="5" xfId="0" applyFont="1" applyFill="1" applyBorder="1" applyAlignment="1" applyProtection="1">
      <alignment horizontal="center"/>
    </xf>
    <xf numFmtId="0" fontId="19" fillId="5" borderId="6" xfId="0" applyFont="1" applyFill="1" applyBorder="1" applyAlignment="1" applyProtection="1">
      <alignment horizontal="center"/>
    </xf>
    <xf numFmtId="0" fontId="80" fillId="5" borderId="6" xfId="0" applyFont="1" applyFill="1" applyBorder="1" applyProtection="1"/>
    <xf numFmtId="167" fontId="80" fillId="5" borderId="6" xfId="0" applyNumberFormat="1" applyFont="1" applyFill="1" applyBorder="1" applyAlignment="1" applyProtection="1">
      <alignment horizontal="center"/>
    </xf>
    <xf numFmtId="167" fontId="79" fillId="5" borderId="6" xfId="0" applyNumberFormat="1" applyFont="1" applyFill="1" applyBorder="1" applyAlignment="1" applyProtection="1">
      <alignment horizontal="center"/>
    </xf>
    <xf numFmtId="167" fontId="80" fillId="5" borderId="6" xfId="4" applyNumberFormat="1" applyFont="1" applyFill="1" applyBorder="1" applyProtection="1"/>
    <xf numFmtId="0" fontId="10" fillId="5" borderId="20" xfId="0" applyFont="1" applyFill="1" applyBorder="1" applyProtection="1"/>
    <xf numFmtId="0" fontId="10" fillId="5" borderId="21" xfId="0" applyFont="1" applyFill="1" applyBorder="1" applyAlignment="1" applyProtection="1"/>
    <xf numFmtId="0" fontId="10" fillId="5" borderId="21" xfId="0" applyFont="1" applyFill="1" applyBorder="1" applyAlignment="1" applyProtection="1">
      <alignment horizontal="left"/>
    </xf>
    <xf numFmtId="0" fontId="10" fillId="5" borderId="21" xfId="0" applyFont="1" applyFill="1" applyBorder="1" applyAlignment="1" applyProtection="1">
      <alignment horizontal="center"/>
    </xf>
    <xf numFmtId="173" fontId="10" fillId="5" borderId="21" xfId="0" applyNumberFormat="1" applyFont="1" applyFill="1" applyBorder="1" applyAlignment="1" applyProtection="1">
      <alignment horizontal="center"/>
    </xf>
    <xf numFmtId="0" fontId="10" fillId="5" borderId="21" xfId="0" applyNumberFormat="1" applyFont="1" applyFill="1" applyBorder="1" applyAlignment="1" applyProtection="1">
      <alignment horizontal="center"/>
    </xf>
    <xf numFmtId="171" fontId="10" fillId="5" borderId="21" xfId="0" applyNumberFormat="1" applyFont="1" applyFill="1" applyBorder="1" applyAlignment="1" applyProtection="1">
      <alignment horizontal="center"/>
    </xf>
    <xf numFmtId="167" fontId="45" fillId="5" borderId="21" xfId="0" applyNumberFormat="1" applyFont="1" applyFill="1" applyBorder="1" applyProtection="1"/>
    <xf numFmtId="164" fontId="11" fillId="5" borderId="21" xfId="0" applyNumberFormat="1" applyFont="1" applyFill="1" applyBorder="1" applyProtection="1"/>
    <xf numFmtId="167" fontId="7" fillId="5" borderId="21" xfId="0" applyNumberFormat="1" applyFont="1" applyFill="1" applyBorder="1" applyProtection="1"/>
    <xf numFmtId="0" fontId="10" fillId="5" borderId="22" xfId="0" applyNumberFormat="1" applyFont="1" applyFill="1" applyBorder="1" applyProtection="1"/>
    <xf numFmtId="0" fontId="80" fillId="5" borderId="9" xfId="0" applyFont="1" applyFill="1" applyBorder="1" applyProtection="1"/>
    <xf numFmtId="0" fontId="19" fillId="4" borderId="12" xfId="0" applyFont="1" applyFill="1" applyBorder="1" applyAlignment="1" applyProtection="1">
      <alignment horizontal="center"/>
    </xf>
    <xf numFmtId="164" fontId="48" fillId="7" borderId="15" xfId="0" applyNumberFormat="1" applyFont="1" applyFill="1" applyBorder="1" applyProtection="1"/>
    <xf numFmtId="164" fontId="10" fillId="6" borderId="15" xfId="0" applyNumberFormat="1" applyFont="1" applyFill="1" applyBorder="1" applyAlignment="1" applyProtection="1">
      <alignment horizontal="center"/>
    </xf>
    <xf numFmtId="0" fontId="10" fillId="4" borderId="18" xfId="0" applyFont="1" applyFill="1" applyBorder="1" applyProtection="1"/>
    <xf numFmtId="0" fontId="96" fillId="0" borderId="0" xfId="0" applyFont="1" applyAlignment="1" applyProtection="1">
      <alignment horizontal="left"/>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1" fontId="7" fillId="0" borderId="0" xfId="0" applyNumberFormat="1" applyFont="1" applyFill="1" applyBorder="1" applyAlignment="1" applyProtection="1">
      <alignment horizontal="left" vertical="center"/>
    </xf>
    <xf numFmtId="0" fontId="6" fillId="0" borderId="0" xfId="0" applyFont="1" applyFill="1"/>
    <xf numFmtId="0" fontId="7" fillId="0" borderId="0" xfId="0" applyFont="1" applyFill="1"/>
    <xf numFmtId="0" fontId="3" fillId="0" borderId="0" xfId="2" applyFill="1" applyAlignment="1" applyProtection="1"/>
    <xf numFmtId="2" fontId="10" fillId="5" borderId="6" xfId="0" applyNumberFormat="1" applyFont="1" applyFill="1" applyBorder="1" applyAlignment="1" applyProtection="1">
      <alignment horizontal="center"/>
      <protection locked="0"/>
    </xf>
    <xf numFmtId="165" fontId="6" fillId="6" borderId="0" xfId="0" applyNumberFormat="1" applyFont="1" applyFill="1" applyBorder="1" applyAlignment="1" applyProtection="1">
      <alignment horizontal="left"/>
      <protection locked="0"/>
    </xf>
    <xf numFmtId="165" fontId="6" fillId="0" borderId="0" xfId="0" applyNumberFormat="1" applyFont="1" applyFill="1" applyBorder="1" applyAlignment="1" applyProtection="1">
      <alignment horizontal="left"/>
      <protection locked="0"/>
    </xf>
    <xf numFmtId="10" fontId="6" fillId="6" borderId="0" xfId="0" applyNumberFormat="1" applyFont="1" applyFill="1" applyBorder="1" applyAlignment="1" applyProtection="1">
      <alignment horizontal="center"/>
      <protection locked="0"/>
    </xf>
    <xf numFmtId="0" fontId="47" fillId="4" borderId="0" xfId="0" applyFont="1" applyFill="1" applyBorder="1" applyAlignment="1" applyProtection="1">
      <alignment horizontal="center"/>
    </xf>
    <xf numFmtId="0" fontId="46" fillId="4" borderId="0" xfId="0" applyFont="1" applyFill="1" applyBorder="1" applyAlignment="1" applyProtection="1">
      <alignment horizontal="left"/>
    </xf>
    <xf numFmtId="0" fontId="96" fillId="4" borderId="15" xfId="0" applyFont="1" applyFill="1" applyBorder="1" applyProtection="1">
      <protection locked="0"/>
    </xf>
    <xf numFmtId="167" fontId="10" fillId="4" borderId="14" xfId="0" applyNumberFormat="1" applyFont="1" applyFill="1" applyBorder="1" applyAlignment="1" applyProtection="1">
      <alignment horizontal="left"/>
      <protection locked="0"/>
    </xf>
    <xf numFmtId="164" fontId="8" fillId="0" borderId="14" xfId="4" applyNumberFormat="1" applyFont="1" applyFill="1" applyBorder="1" applyAlignment="1" applyProtection="1">
      <alignment horizontal="left"/>
    </xf>
    <xf numFmtId="179" fontId="51" fillId="5" borderId="0" xfId="0" applyNumberFormat="1" applyFont="1" applyFill="1"/>
    <xf numFmtId="2" fontId="10" fillId="9" borderId="14"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protection locked="0"/>
    </xf>
    <xf numFmtId="174" fontId="6" fillId="0" borderId="0" xfId="0" applyNumberFormat="1" applyFont="1" applyFill="1" applyAlignment="1" applyProtection="1">
      <alignment horizontal="left"/>
    </xf>
    <xf numFmtId="0" fontId="71" fillId="5" borderId="0" xfId="0" applyFont="1" applyFill="1" applyBorder="1" applyAlignment="1" applyProtection="1">
      <alignment horizontal="right"/>
    </xf>
    <xf numFmtId="2" fontId="10" fillId="9" borderId="14" xfId="0" applyNumberFormat="1" applyFont="1" applyFill="1" applyBorder="1" applyAlignment="1" applyProtection="1">
      <alignment horizontal="center"/>
      <protection locked="0"/>
    </xf>
    <xf numFmtId="164" fontId="6" fillId="0" borderId="0" xfId="0" applyNumberFormat="1" applyFont="1" applyFill="1" applyBorder="1" applyAlignment="1" applyProtection="1">
      <alignment horizontal="center"/>
    </xf>
    <xf numFmtId="44" fontId="100" fillId="0" borderId="0" xfId="0" applyNumberFormat="1" applyFont="1" applyAlignment="1" applyProtection="1">
      <alignment horizontal="left"/>
    </xf>
    <xf numFmtId="0" fontId="46" fillId="6" borderId="14" xfId="0" applyFont="1" applyFill="1" applyBorder="1" applyAlignment="1" applyProtection="1">
      <alignment horizontal="left"/>
      <protection locked="0"/>
    </xf>
    <xf numFmtId="0" fontId="46" fillId="0" borderId="14" xfId="0" applyFont="1" applyFill="1" applyBorder="1" applyAlignment="1" applyProtection="1">
      <alignment horizontal="center"/>
      <protection locked="0"/>
    </xf>
    <xf numFmtId="0" fontId="51"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7" fillId="0" borderId="0" xfId="0" applyNumberFormat="1" applyFont="1" applyFill="1" applyBorder="1" applyAlignment="1" applyProtection="1">
      <alignment horizontal="left" vertical="center"/>
    </xf>
    <xf numFmtId="3" fontId="96" fillId="6" borderId="0" xfId="0" applyNumberFormat="1" applyFont="1" applyFill="1" applyAlignment="1" applyProtection="1">
      <alignment horizontal="left"/>
    </xf>
    <xf numFmtId="0" fontId="96" fillId="6" borderId="0" xfId="0" applyFont="1" applyFill="1" applyAlignment="1" applyProtection="1">
      <alignment horizontal="left"/>
    </xf>
    <xf numFmtId="0" fontId="96" fillId="0" borderId="0" xfId="0" applyFont="1" applyAlignment="1" applyProtection="1">
      <alignment horizontal="center"/>
    </xf>
    <xf numFmtId="0" fontId="10" fillId="0" borderId="0" xfId="0" applyFont="1" applyFill="1" applyBorder="1" applyAlignment="1" applyProtection="1"/>
    <xf numFmtId="0" fontId="10" fillId="0" borderId="0" xfId="0" applyFont="1" applyFill="1" applyBorder="1" applyAlignment="1" applyProtection="1">
      <alignment horizontal="center"/>
    </xf>
    <xf numFmtId="179" fontId="11" fillId="4" borderId="0" xfId="0" applyNumberFormat="1" applyFont="1" applyFill="1" applyBorder="1" applyAlignment="1" applyProtection="1">
      <alignment horizontal="left"/>
    </xf>
    <xf numFmtId="0" fontId="0" fillId="4" borderId="0" xfId="0" applyFill="1"/>
    <xf numFmtId="164" fontId="10" fillId="6" borderId="14" xfId="0" applyNumberFormat="1" applyFont="1" applyFill="1" applyBorder="1" applyAlignment="1" applyProtection="1">
      <alignment horizontal="left"/>
      <protection locked="0"/>
    </xf>
    <xf numFmtId="44" fontId="6" fillId="0" borderId="0" xfId="0" applyNumberFormat="1" applyFont="1" applyFill="1" applyBorder="1" applyAlignment="1" applyProtection="1">
      <alignment horizontal="left"/>
    </xf>
    <xf numFmtId="0" fontId="6" fillId="5" borderId="0" xfId="0" applyFont="1" applyFill="1" applyBorder="1" applyAlignment="1" applyProtection="1">
      <alignment horizontal="left"/>
      <protection locked="0"/>
    </xf>
    <xf numFmtId="44" fontId="44" fillId="0" borderId="0" xfId="0" applyNumberFormat="1" applyFont="1" applyFill="1" applyBorder="1" applyAlignment="1" applyProtection="1">
      <alignment horizontal="left"/>
    </xf>
    <xf numFmtId="44" fontId="44" fillId="0" borderId="0" xfId="0" applyNumberFormat="1" applyFont="1" applyFill="1" applyAlignment="1" applyProtection="1">
      <alignment horizontal="left"/>
    </xf>
    <xf numFmtId="170" fontId="6" fillId="0" borderId="0" xfId="0" applyNumberFormat="1" applyFont="1" applyFill="1" applyBorder="1" applyAlignment="1" applyProtection="1">
      <alignment horizontal="right"/>
    </xf>
    <xf numFmtId="44" fontId="6" fillId="0" borderId="0" xfId="0" applyNumberFormat="1" applyFont="1" applyFill="1" applyAlignment="1" applyProtection="1">
      <alignment horizontal="left"/>
    </xf>
    <xf numFmtId="0" fontId="6" fillId="0" borderId="0" xfId="0" applyFont="1" applyFill="1" applyAlignment="1" applyProtection="1">
      <alignment horizontal="left"/>
      <protection locked="0"/>
    </xf>
    <xf numFmtId="44" fontId="6" fillId="6" borderId="0" xfId="0" applyNumberFormat="1" applyFont="1" applyFill="1" applyAlignment="1" applyProtection="1">
      <alignment horizontal="left"/>
      <protection locked="0"/>
    </xf>
    <xf numFmtId="0" fontId="6" fillId="6" borderId="0" xfId="0" applyNumberFormat="1" applyFont="1" applyFill="1" applyBorder="1" applyAlignment="1" applyProtection="1">
      <alignment horizontal="left"/>
      <protection locked="0"/>
    </xf>
    <xf numFmtId="44" fontId="6" fillId="6" borderId="0" xfId="0" applyNumberFormat="1" applyFont="1" applyFill="1" applyBorder="1" applyAlignment="1" applyProtection="1">
      <alignment horizontal="left"/>
      <protection locked="0"/>
    </xf>
    <xf numFmtId="0" fontId="10" fillId="5" borderId="2" xfId="0" applyFont="1" applyFill="1" applyBorder="1" applyProtection="1">
      <protection locked="0"/>
    </xf>
    <xf numFmtId="2" fontId="6" fillId="0" borderId="0" xfId="0" applyNumberFormat="1" applyFont="1" applyFill="1" applyBorder="1" applyAlignment="1" applyProtection="1">
      <alignment horizontal="left"/>
      <protection locked="0"/>
    </xf>
    <xf numFmtId="44" fontId="6" fillId="0" borderId="0" xfId="0" applyNumberFormat="1" applyFont="1" applyFill="1" applyAlignment="1" applyProtection="1">
      <alignment horizontal="left"/>
      <protection locked="0"/>
    </xf>
    <xf numFmtId="44" fontId="6" fillId="0" borderId="0" xfId="0" applyNumberFormat="1" applyFont="1" applyFill="1" applyBorder="1" applyAlignment="1" applyProtection="1">
      <alignment horizontal="left"/>
      <protection locked="0"/>
    </xf>
    <xf numFmtId="10" fontId="6" fillId="0" borderId="0" xfId="0" applyNumberFormat="1" applyFont="1" applyFill="1" applyBorder="1" applyAlignment="1" applyProtection="1">
      <alignment horizontal="center"/>
      <protection locked="0"/>
    </xf>
    <xf numFmtId="42" fontId="6" fillId="6" borderId="0" xfId="0" applyNumberFormat="1" applyFont="1" applyFill="1" applyBorder="1" applyAlignment="1" applyProtection="1">
      <alignment horizontal="left"/>
      <protection locked="0"/>
    </xf>
    <xf numFmtId="42" fontId="6" fillId="0" borderId="0" xfId="0" applyNumberFormat="1" applyFont="1" applyFill="1" applyBorder="1" applyAlignment="1" applyProtection="1">
      <alignment horizontal="left"/>
    </xf>
    <xf numFmtId="0" fontId="51" fillId="5" borderId="0" xfId="0" applyFont="1" applyFill="1"/>
    <xf numFmtId="165" fontId="6" fillId="0" borderId="0" xfId="4" applyFont="1" applyFill="1" applyAlignment="1" applyProtection="1">
      <alignment horizontal="left"/>
    </xf>
    <xf numFmtId="165" fontId="6" fillId="6" borderId="0" xfId="4" applyFont="1" applyFill="1" applyAlignment="1" applyProtection="1">
      <alignment horizontal="left"/>
    </xf>
    <xf numFmtId="164" fontId="10" fillId="0" borderId="14" xfId="0" applyNumberFormat="1" applyFont="1" applyFill="1" applyBorder="1" applyAlignment="1" applyProtection="1">
      <alignment horizontal="left"/>
      <protection locked="0"/>
    </xf>
    <xf numFmtId="14" fontId="73" fillId="5" borderId="0" xfId="0" quotePrefix="1" applyNumberFormat="1" applyFont="1" applyFill="1" applyBorder="1" applyAlignment="1" applyProtection="1">
      <alignment horizontal="center"/>
    </xf>
    <xf numFmtId="0" fontId="1" fillId="0" borderId="0" xfId="5"/>
    <xf numFmtId="165" fontId="6" fillId="11" borderId="0" xfId="5" applyNumberFormat="1" applyFont="1" applyFill="1" applyBorder="1" applyProtection="1">
      <protection locked="0"/>
    </xf>
    <xf numFmtId="165" fontId="6" fillId="0" borderId="0" xfId="5" applyNumberFormat="1" applyFont="1" applyFill="1" applyBorder="1" applyAlignment="1" applyProtection="1">
      <alignment horizontal="left"/>
    </xf>
    <xf numFmtId="164" fontId="6" fillId="0" borderId="0" xfId="5" applyNumberFormat="1" applyFont="1" applyFill="1" applyBorder="1" applyAlignment="1" applyProtection="1">
      <alignment horizontal="left"/>
    </xf>
    <xf numFmtId="164" fontId="6" fillId="11" borderId="0" xfId="5" applyNumberFormat="1" applyFont="1" applyFill="1" applyBorder="1" applyAlignment="1" applyProtection="1">
      <alignment horizontal="center"/>
      <protection locked="0"/>
    </xf>
    <xf numFmtId="164" fontId="6" fillId="0" borderId="0" xfId="5" applyNumberFormat="1" applyFont="1" applyFill="1" applyBorder="1" applyAlignment="1" applyProtection="1">
      <alignment horizontal="center"/>
    </xf>
    <xf numFmtId="0" fontId="46" fillId="0" borderId="0" xfId="5" applyFont="1" applyFill="1" applyBorder="1" applyAlignment="1" applyProtection="1">
      <alignment horizontal="left"/>
    </xf>
    <xf numFmtId="3" fontId="46" fillId="0" borderId="0" xfId="5" applyNumberFormat="1" applyFont="1" applyFill="1" applyBorder="1" applyAlignment="1" applyProtection="1">
      <alignment horizontal="left"/>
    </xf>
    <xf numFmtId="44" fontId="6" fillId="0" borderId="0" xfId="5" applyNumberFormat="1" applyFont="1" applyFill="1" applyBorder="1" applyAlignment="1" applyProtection="1">
      <alignment horizontal="left"/>
    </xf>
    <xf numFmtId="14" fontId="6" fillId="0" borderId="0" xfId="0" applyNumberFormat="1" applyFont="1" applyAlignment="1" applyProtection="1">
      <alignment horizontal="left"/>
    </xf>
    <xf numFmtId="0" fontId="10" fillId="4" borderId="0" xfId="0" applyFont="1" applyFill="1" applyBorder="1" applyAlignment="1" applyProtection="1">
      <protection locked="0"/>
    </xf>
    <xf numFmtId="0" fontId="6" fillId="4" borderId="0" xfId="0" applyFont="1" applyFill="1" applyBorder="1" applyAlignment="1" applyProtection="1">
      <alignment horizontal="left"/>
      <protection locked="0"/>
    </xf>
    <xf numFmtId="0" fontId="10" fillId="4" borderId="0" xfId="0" applyFont="1" applyFill="1" applyBorder="1" applyAlignment="1" applyProtection="1">
      <alignment horizontal="center"/>
      <protection locked="0"/>
    </xf>
    <xf numFmtId="173" fontId="10" fillId="4" borderId="0" xfId="0" applyNumberFormat="1" applyFont="1" applyFill="1" applyBorder="1" applyAlignment="1" applyProtection="1">
      <alignment horizontal="center"/>
      <protection locked="0"/>
    </xf>
    <xf numFmtId="0" fontId="6" fillId="4" borderId="0" xfId="0" applyNumberFormat="1" applyFont="1" applyFill="1" applyBorder="1" applyAlignment="1" applyProtection="1">
      <alignment horizontal="center"/>
      <protection locked="0"/>
    </xf>
    <xf numFmtId="0" fontId="10" fillId="4" borderId="0" xfId="0" applyNumberFormat="1" applyFont="1" applyFill="1" applyBorder="1" applyAlignment="1" applyProtection="1">
      <alignment horizontal="center"/>
      <protection locked="0"/>
    </xf>
    <xf numFmtId="3" fontId="96" fillId="6" borderId="0" xfId="0" applyNumberFormat="1" applyFont="1" applyFill="1" applyAlignment="1">
      <alignment horizontal="left"/>
    </xf>
    <xf numFmtId="0" fontId="96" fillId="6" borderId="0" xfId="0" applyFont="1" applyFill="1" applyAlignment="1">
      <alignment horizontal="left"/>
    </xf>
    <xf numFmtId="3" fontId="6" fillId="2" borderId="0" xfId="0" applyNumberFormat="1" applyFont="1" applyFill="1" applyAlignment="1">
      <alignment horizontal="left"/>
    </xf>
    <xf numFmtId="3" fontId="6" fillId="6" borderId="0" xfId="0" applyNumberFormat="1" applyFont="1" applyFill="1" applyAlignment="1">
      <alignment horizontal="left"/>
    </xf>
    <xf numFmtId="3" fontId="44" fillId="6" borderId="0" xfId="0" applyNumberFormat="1" applyFont="1" applyFill="1" applyAlignment="1">
      <alignment horizontal="left"/>
    </xf>
    <xf numFmtId="3" fontId="7" fillId="6" borderId="0" xfId="0" applyNumberFormat="1" applyFont="1" applyFill="1" applyAlignment="1">
      <alignment horizontal="left"/>
    </xf>
    <xf numFmtId="3" fontId="45" fillId="6" borderId="0" xfId="0" applyNumberFormat="1" applyFont="1" applyFill="1" applyAlignment="1">
      <alignment horizontal="left"/>
    </xf>
    <xf numFmtId="3" fontId="99" fillId="6" borderId="0" xfId="0" applyNumberFormat="1" applyFont="1" applyFill="1" applyAlignment="1">
      <alignment horizontal="left"/>
    </xf>
    <xf numFmtId="3" fontId="67" fillId="6" borderId="0" xfId="0" applyNumberFormat="1" applyFont="1" applyFill="1" applyAlignment="1">
      <alignment horizontal="left"/>
    </xf>
    <xf numFmtId="0" fontId="96" fillId="0" borderId="0" xfId="0" applyFont="1" applyAlignment="1">
      <alignment horizontal="left"/>
    </xf>
    <xf numFmtId="49" fontId="6" fillId="0" borderId="0" xfId="0" applyNumberFormat="1"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6" fillId="6" borderId="15" xfId="0" applyFont="1" applyFill="1" applyBorder="1" applyAlignment="1" applyProtection="1">
      <alignment horizontal="left"/>
      <protection locked="0"/>
    </xf>
    <xf numFmtId="0" fontId="46" fillId="6" borderId="13" xfId="0" applyFont="1" applyFill="1" applyBorder="1" applyAlignment="1" applyProtection="1">
      <alignment horizontal="left"/>
      <protection locked="0"/>
    </xf>
    <xf numFmtId="0" fontId="44" fillId="0" borderId="0" xfId="0" applyFont="1" applyFill="1" applyBorder="1" applyAlignment="1" applyProtection="1">
      <alignment horizontal="left"/>
    </xf>
    <xf numFmtId="172" fontId="66" fillId="2" borderId="0" xfId="0" applyNumberFormat="1" applyFont="1" applyFill="1" applyBorder="1" applyAlignment="1" applyProtection="1">
      <alignment horizontal="left"/>
      <protection locked="0"/>
    </xf>
    <xf numFmtId="0" fontId="0" fillId="0" borderId="0" xfId="0" applyAlignment="1">
      <alignment horizontal="left"/>
    </xf>
  </cellXfs>
  <cellStyles count="6">
    <cellStyle name="Euro" xfId="1" xr:uid="{00000000-0005-0000-0000-000000000000}"/>
    <cellStyle name="Hyperlink" xfId="2" builtinId="8"/>
    <cellStyle name="Procent" xfId="3" builtinId="5"/>
    <cellStyle name="Standaard" xfId="0" builtinId="0"/>
    <cellStyle name="Standaard 2" xfId="5" xr:uid="{94EDA3AF-C401-4406-856F-2E891AF6895A}"/>
    <cellStyle name="Valuta" xfId="4" builtinId="4"/>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Budget Personeel</a:t>
            </a:r>
          </a:p>
        </c:rich>
      </c:tx>
      <c:layout>
        <c:manualLayout>
          <c:xMode val="edge"/>
          <c:yMode val="edge"/>
          <c:x val="0.36344537815126082"/>
          <c:y val="3.5190615835777136E-2"/>
        </c:manualLayout>
      </c:layout>
      <c:overlay val="0"/>
      <c:spPr>
        <a:noFill/>
        <a:ln w="25400">
          <a:noFill/>
        </a:ln>
      </c:spPr>
    </c:title>
    <c:autoTitleDeleted val="0"/>
    <c:plotArea>
      <c:layout>
        <c:manualLayout>
          <c:layoutTarget val="inner"/>
          <c:xMode val="edge"/>
          <c:yMode val="edge"/>
          <c:x val="0.20798319327731313"/>
          <c:y val="0.18475073313783236"/>
          <c:w val="0.76260504201681889"/>
          <c:h val="0.6011730205278597"/>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begr!$G$8:$M$8</c:f>
              <c:numCache>
                <c:formatCode>General</c:formatCode>
                <c:ptCount val="7"/>
                <c:pt idx="0">
                  <c:v>2021</c:v>
                </c:pt>
                <c:pt idx="1">
                  <c:v>2022</c:v>
                </c:pt>
                <c:pt idx="2">
                  <c:v>2023</c:v>
                </c:pt>
                <c:pt idx="3">
                  <c:v>2024</c:v>
                </c:pt>
                <c:pt idx="4">
                  <c:v>2025</c:v>
                </c:pt>
                <c:pt idx="5">
                  <c:v>2026</c:v>
                </c:pt>
              </c:numCache>
            </c:numRef>
          </c:cat>
          <c:val>
            <c:numRef>
              <c:f>pers!$I$153:$M$153</c:f>
              <c:numCache>
                <c:formatCode>_-"€"\ * #,##0_-;_-"€"\ * #,##0\-;_-"€"\ * "-"_-;_-@_-</c:formatCode>
                <c:ptCount val="5"/>
                <c:pt idx="0">
                  <c:v>1676330.9506513334</c:v>
                </c:pt>
                <c:pt idx="1">
                  <c:v>1523463.8181840668</c:v>
                </c:pt>
                <c:pt idx="2">
                  <c:v>1468803.5436050002</c:v>
                </c:pt>
                <c:pt idx="3">
                  <c:v>1480761.7745449999</c:v>
                </c:pt>
                <c:pt idx="4">
                  <c:v>1492720.0054849999</c:v>
                </c:pt>
              </c:numCache>
            </c:numRef>
          </c:val>
          <c:extLst>
            <c:ext xmlns:c16="http://schemas.microsoft.com/office/drawing/2014/chart" uri="{C3380CC4-5D6E-409C-BE32-E72D297353CC}">
              <c16:uniqueId val="{00000000-ECE2-42F2-B82B-46B3CC218B7D}"/>
            </c:ext>
          </c:extLst>
        </c:ser>
        <c:ser>
          <c:idx val="1"/>
          <c:order val="1"/>
          <c:tx>
            <c:v>lasten</c:v>
          </c:tx>
          <c:spPr>
            <a:solidFill>
              <a:srgbClr val="FFCC99"/>
            </a:solidFill>
            <a:ln w="12700">
              <a:solidFill>
                <a:srgbClr val="000000"/>
              </a:solidFill>
              <a:prstDash val="solid"/>
            </a:ln>
          </c:spPr>
          <c:invertIfNegative val="0"/>
          <c:cat>
            <c:numRef>
              <c:f>begr!$G$8:$M$8</c:f>
              <c:numCache>
                <c:formatCode>General</c:formatCode>
                <c:ptCount val="7"/>
                <c:pt idx="0">
                  <c:v>2021</c:v>
                </c:pt>
                <c:pt idx="1">
                  <c:v>2022</c:v>
                </c:pt>
                <c:pt idx="2">
                  <c:v>2023</c:v>
                </c:pt>
                <c:pt idx="3">
                  <c:v>2024</c:v>
                </c:pt>
                <c:pt idx="4">
                  <c:v>2025</c:v>
                </c:pt>
                <c:pt idx="5">
                  <c:v>2026</c:v>
                </c:pt>
              </c:numCache>
            </c:numRef>
          </c:cat>
          <c:val>
            <c:numRef>
              <c:f>pers!$I$168:$M$168</c:f>
              <c:numCache>
                <c:formatCode>_-"€"\ * #,##0_-;_-"€"\ * #,##0\-;_-"€"\ * "-"_-;_-@_-</c:formatCode>
                <c:ptCount val="5"/>
                <c:pt idx="0">
                  <c:v>202500.20007926464</c:v>
                </c:pt>
                <c:pt idx="1">
                  <c:v>207937.34532851118</c:v>
                </c:pt>
                <c:pt idx="2">
                  <c:v>214767.81916817365</c:v>
                </c:pt>
                <c:pt idx="3">
                  <c:v>220906.10198915013</c:v>
                </c:pt>
                <c:pt idx="4">
                  <c:v>227046.89692585898</c:v>
                </c:pt>
              </c:numCache>
            </c:numRef>
          </c:val>
          <c:extLst>
            <c:ext xmlns:c16="http://schemas.microsoft.com/office/drawing/2014/chart" uri="{C3380CC4-5D6E-409C-BE32-E72D297353CC}">
              <c16:uniqueId val="{00000001-ECE2-42F2-B82B-46B3CC218B7D}"/>
            </c:ext>
          </c:extLst>
        </c:ser>
        <c:dLbls>
          <c:showLegendKey val="0"/>
          <c:showVal val="0"/>
          <c:showCatName val="0"/>
          <c:showSerName val="0"/>
          <c:showPercent val="0"/>
          <c:showBubbleSize val="0"/>
        </c:dLbls>
        <c:gapWidth val="150"/>
        <c:axId val="601131208"/>
        <c:axId val="601128072"/>
      </c:barChart>
      <c:catAx>
        <c:axId val="60113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01128072"/>
        <c:crosses val="autoZero"/>
        <c:auto val="1"/>
        <c:lblAlgn val="ctr"/>
        <c:lblOffset val="100"/>
        <c:tickLblSkip val="1"/>
        <c:tickMarkSkip val="1"/>
        <c:noMultiLvlLbl val="0"/>
      </c:catAx>
      <c:valAx>
        <c:axId val="60112807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011312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949579831932782"/>
          <c:y val="0.90909090909090906"/>
          <c:w val="0.22478991596638681"/>
          <c:h val="7.038123167155341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764705882352727"/>
          <c:y val="3.5294117647058851E-2"/>
        </c:manualLayout>
      </c:layout>
      <c:overlay val="0"/>
      <c:spPr>
        <a:noFill/>
        <a:ln w="25400">
          <a:noFill/>
        </a:ln>
      </c:spPr>
    </c:title>
    <c:autoTitleDeleted val="0"/>
    <c:plotArea>
      <c:layout>
        <c:manualLayout>
          <c:layoutTarget val="inner"/>
          <c:xMode val="edge"/>
          <c:yMode val="edge"/>
          <c:x val="0.21218487394957827"/>
          <c:y val="0.20000028722467719"/>
          <c:w val="0.75840336134453779"/>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2021</c:v>
                </c:pt>
                <c:pt idx="1">
                  <c:v>2022</c:v>
                </c:pt>
                <c:pt idx="2">
                  <c:v>2023</c:v>
                </c:pt>
                <c:pt idx="3">
                  <c:v>2024</c:v>
                </c:pt>
                <c:pt idx="4">
                  <c:v>2025</c:v>
                </c:pt>
              </c:numCache>
            </c:numRef>
          </c:cat>
          <c:val>
            <c:numRef>
              <c:f>mat!$I$94:$M$94</c:f>
              <c:numCache>
                <c:formatCode>_-"€"\ * #,##0_-;_-"€"\ * #,##0\-;_-"€"\ * "-"??_-;_-@_-</c:formatCode>
                <c:ptCount val="5"/>
                <c:pt idx="0">
                  <c:v>178783.19460800002</c:v>
                </c:pt>
                <c:pt idx="1">
                  <c:v>183761.43000000002</c:v>
                </c:pt>
                <c:pt idx="2">
                  <c:v>183761.43000000002</c:v>
                </c:pt>
                <c:pt idx="3">
                  <c:v>183761.43000000002</c:v>
                </c:pt>
                <c:pt idx="4">
                  <c:v>183761.43000000002</c:v>
                </c:pt>
              </c:numCache>
            </c:numRef>
          </c:val>
          <c:extLst>
            <c:ext xmlns:c16="http://schemas.microsoft.com/office/drawing/2014/chart" uri="{C3380CC4-5D6E-409C-BE32-E72D297353CC}">
              <c16:uniqueId val="{00000000-1C96-4DC9-ABE9-A349A1A04B92}"/>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2021</c:v>
                </c:pt>
                <c:pt idx="1">
                  <c:v>2022</c:v>
                </c:pt>
                <c:pt idx="2">
                  <c:v>2023</c:v>
                </c:pt>
                <c:pt idx="3">
                  <c:v>2024</c:v>
                </c:pt>
                <c:pt idx="4">
                  <c:v>2025</c:v>
                </c:pt>
              </c:numCache>
            </c:numRef>
          </c:cat>
          <c:val>
            <c:numRef>
              <c:f>mat!$I$176:$M$176</c:f>
              <c:numCache>
                <c:formatCode>_-"€"\ * #,##0_-;_-"€"\ * #,##0\-;_-"€"\ * "-"??_-;_-@_-</c:formatCode>
                <c:ptCount val="5"/>
                <c:pt idx="0">
                  <c:v>43750</c:v>
                </c:pt>
                <c:pt idx="1">
                  <c:v>43750</c:v>
                </c:pt>
                <c:pt idx="2">
                  <c:v>87500</c:v>
                </c:pt>
                <c:pt idx="3">
                  <c:v>43750</c:v>
                </c:pt>
                <c:pt idx="4">
                  <c:v>43750</c:v>
                </c:pt>
              </c:numCache>
            </c:numRef>
          </c:val>
          <c:extLst>
            <c:ext xmlns:c16="http://schemas.microsoft.com/office/drawing/2014/chart" uri="{C3380CC4-5D6E-409C-BE32-E72D297353CC}">
              <c16:uniqueId val="{00000001-1C96-4DC9-ABE9-A349A1A04B92}"/>
            </c:ext>
          </c:extLst>
        </c:ser>
        <c:dLbls>
          <c:showLegendKey val="0"/>
          <c:showVal val="0"/>
          <c:showCatName val="0"/>
          <c:showSerName val="0"/>
          <c:showPercent val="0"/>
          <c:showBubbleSize val="0"/>
        </c:dLbls>
        <c:gapWidth val="150"/>
        <c:axId val="601128856"/>
        <c:axId val="601128464"/>
      </c:barChart>
      <c:catAx>
        <c:axId val="60112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601128464"/>
        <c:crosses val="autoZero"/>
        <c:auto val="1"/>
        <c:lblAlgn val="ctr"/>
        <c:lblOffset val="100"/>
        <c:tickLblSkip val="1"/>
        <c:tickMarkSkip val="1"/>
        <c:noMultiLvlLbl val="0"/>
      </c:catAx>
      <c:valAx>
        <c:axId val="60112846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601128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579831932773138"/>
          <c:y val="0.90588358808089997"/>
          <c:w val="0.24579831932773283"/>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en lasten</a:t>
            </a:r>
          </a:p>
        </c:rich>
      </c:tx>
      <c:layout>
        <c:manualLayout>
          <c:xMode val="edge"/>
          <c:yMode val="edge"/>
          <c:x val="0.3291145885245379"/>
          <c:y val="3.5294117647058851E-2"/>
        </c:manualLayout>
      </c:layout>
      <c:overlay val="0"/>
      <c:spPr>
        <a:noFill/>
        <a:ln w="25400">
          <a:noFill/>
        </a:ln>
      </c:spPr>
    </c:title>
    <c:autoTitleDeleted val="0"/>
    <c:plotArea>
      <c:layout>
        <c:manualLayout>
          <c:layoutTarget val="inner"/>
          <c:xMode val="edge"/>
          <c:yMode val="edge"/>
          <c:x val="0.22995827968065927"/>
          <c:y val="0.20000028722467719"/>
          <c:w val="0.74050785475148084"/>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2021</c:v>
                </c:pt>
                <c:pt idx="1">
                  <c:v>2022</c:v>
                </c:pt>
                <c:pt idx="2">
                  <c:v>2023</c:v>
                </c:pt>
                <c:pt idx="3">
                  <c:v>2024</c:v>
                </c:pt>
                <c:pt idx="4">
                  <c:v>2025</c:v>
                </c:pt>
              </c:numCache>
            </c:numRef>
          </c:cat>
          <c:val>
            <c:numRef>
              <c:f>begr!$G$19:$K$19</c:f>
              <c:numCache>
                <c:formatCode>_-"€"\ * #,##0_-;_-"€"\ * #,##0\-;_-"€"\ * "-"_-;_-@_-</c:formatCode>
                <c:ptCount val="5"/>
                <c:pt idx="0">
                  <c:v>1855114.1452593335</c:v>
                </c:pt>
                <c:pt idx="1">
                  <c:v>1707225.2481840667</c:v>
                </c:pt>
                <c:pt idx="2">
                  <c:v>1652564.9736050002</c:v>
                </c:pt>
                <c:pt idx="3">
                  <c:v>1664523.2045449999</c:v>
                </c:pt>
                <c:pt idx="4">
                  <c:v>1676481.4354849998</c:v>
                </c:pt>
              </c:numCache>
            </c:numRef>
          </c:val>
          <c:extLst>
            <c:ext xmlns:c16="http://schemas.microsoft.com/office/drawing/2014/chart" uri="{C3380CC4-5D6E-409C-BE32-E72D297353CC}">
              <c16:uniqueId val="{00000000-7BBA-4489-9F76-DFB1634C9780}"/>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2021</c:v>
                </c:pt>
                <c:pt idx="1">
                  <c:v>2022</c:v>
                </c:pt>
                <c:pt idx="2">
                  <c:v>2023</c:v>
                </c:pt>
                <c:pt idx="3">
                  <c:v>2024</c:v>
                </c:pt>
                <c:pt idx="4">
                  <c:v>2025</c:v>
                </c:pt>
              </c:numCache>
            </c:numRef>
          </c:cat>
          <c:val>
            <c:numRef>
              <c:f>begr!$G$27:$K$27</c:f>
              <c:numCache>
                <c:formatCode>_-"€"\ * #,##0_-;_-"€"\ * #,##0\-;_-"€"\ * "-"_-;_-@_-</c:formatCode>
                <c:ptCount val="5"/>
                <c:pt idx="0">
                  <c:v>249554.02091259797</c:v>
                </c:pt>
                <c:pt idx="1">
                  <c:v>251687.34532851118</c:v>
                </c:pt>
                <c:pt idx="2">
                  <c:v>302267.81916817365</c:v>
                </c:pt>
                <c:pt idx="3">
                  <c:v>264656.10198915016</c:v>
                </c:pt>
                <c:pt idx="4">
                  <c:v>270796.89692585898</c:v>
                </c:pt>
              </c:numCache>
            </c:numRef>
          </c:val>
          <c:extLst>
            <c:ext xmlns:c16="http://schemas.microsoft.com/office/drawing/2014/chart" uri="{C3380CC4-5D6E-409C-BE32-E72D297353CC}">
              <c16:uniqueId val="{00000001-7BBA-4489-9F76-DFB1634C9780}"/>
            </c:ext>
          </c:extLst>
        </c:ser>
        <c:dLbls>
          <c:showLegendKey val="0"/>
          <c:showVal val="0"/>
          <c:showCatName val="0"/>
          <c:showSerName val="0"/>
          <c:showPercent val="0"/>
          <c:showBubbleSize val="0"/>
        </c:dLbls>
        <c:gapWidth val="150"/>
        <c:axId val="601129640"/>
        <c:axId val="601130424"/>
      </c:barChart>
      <c:catAx>
        <c:axId val="601129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601130424"/>
        <c:crosses val="autoZero"/>
        <c:auto val="1"/>
        <c:lblAlgn val="ctr"/>
        <c:lblOffset val="100"/>
        <c:tickLblSkip val="1"/>
        <c:tickMarkSkip val="1"/>
        <c:noMultiLvlLbl val="0"/>
      </c:catAx>
      <c:valAx>
        <c:axId val="6011304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6011296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734287960840716"/>
          <c:y val="0.90588358808089997"/>
          <c:w val="0.24683588602057649"/>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Opbouw totale loonkosten </a:t>
            </a:r>
          </a:p>
        </c:rich>
      </c:tx>
      <c:layout>
        <c:manualLayout>
          <c:xMode val="edge"/>
          <c:yMode val="edge"/>
          <c:x val="0.30252100840336127"/>
          <c:y val="3.5294117647058851E-2"/>
        </c:manualLayout>
      </c:layout>
      <c:overlay val="0"/>
      <c:spPr>
        <a:noFill/>
        <a:ln w="25400">
          <a:noFill/>
        </a:ln>
      </c:spPr>
    </c:title>
    <c:autoTitleDeleted val="0"/>
    <c:plotArea>
      <c:layout>
        <c:manualLayout>
          <c:layoutTarget val="inner"/>
          <c:xMode val="edge"/>
          <c:yMode val="edge"/>
          <c:x val="0.15546218487395214"/>
          <c:y val="0.18529438375227855"/>
          <c:w val="0.81512605042016861"/>
          <c:h val="0.60000086167403699"/>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ken!$F$49:$J$49</c:f>
              <c:numCache>
                <c:formatCode>0%</c:formatCode>
                <c:ptCount val="5"/>
                <c:pt idx="0">
                  <c:v>0.36429741155858325</c:v>
                </c:pt>
                <c:pt idx="1">
                  <c:v>0.3662410899768182</c:v>
                </c:pt>
                <c:pt idx="2">
                  <c:v>0.36850958540500145</c:v>
                </c:pt>
                <c:pt idx="3">
                  <c:v>0.37039447649127738</c:v>
                </c:pt>
                <c:pt idx="4">
                  <c:v>0.37409011596285074</c:v>
                </c:pt>
              </c:numCache>
            </c:numRef>
          </c:val>
          <c:extLst>
            <c:ext xmlns:c16="http://schemas.microsoft.com/office/drawing/2014/chart" uri="{C3380CC4-5D6E-409C-BE32-E72D297353CC}">
              <c16:uniqueId val="{00000000-4496-4303-A46D-5569CA64D5A7}"/>
            </c:ext>
          </c:extLst>
        </c:ser>
        <c:ser>
          <c:idx val="2"/>
          <c:order val="1"/>
          <c:tx>
            <c:v>OBP</c:v>
          </c:tx>
          <c:spPr>
            <a:solidFill>
              <a:srgbClr val="CCFFCC"/>
            </a:solidFill>
            <a:ln w="12700">
              <a:solidFill>
                <a:srgbClr val="000000"/>
              </a:solidFill>
              <a:prstDash val="solid"/>
            </a:ln>
          </c:spPr>
          <c:invertIfNegative val="0"/>
          <c:dLbls>
            <c:dLbl>
              <c:idx val="0"/>
              <c:layout>
                <c:manualLayout>
                  <c:x val="-7.2829131652660532E-4"/>
                  <c:y val="-3.15155325680892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96-4303-A46D-5569CA64D5A7}"/>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ken!$F$50:$J$50</c:f>
              <c:numCache>
                <c:formatCode>0%</c:formatCode>
                <c:ptCount val="5"/>
                <c:pt idx="0">
                  <c:v>0.2976750189745811</c:v>
                </c:pt>
                <c:pt idx="1">
                  <c:v>0.29302672833365961</c:v>
                </c:pt>
                <c:pt idx="2">
                  <c:v>0.28942138650356625</c:v>
                </c:pt>
                <c:pt idx="3">
                  <c:v>0.28657243702172286</c:v>
                </c:pt>
                <c:pt idx="4">
                  <c:v>0.28168277508273659</c:v>
                </c:pt>
              </c:numCache>
            </c:numRef>
          </c:val>
          <c:extLst>
            <c:ext xmlns:c16="http://schemas.microsoft.com/office/drawing/2014/chart" uri="{C3380CC4-5D6E-409C-BE32-E72D297353CC}">
              <c16:uniqueId val="{00000002-4496-4303-A46D-5569CA64D5A7}"/>
            </c:ext>
          </c:extLst>
        </c:ser>
        <c:ser>
          <c:idx val="0"/>
          <c:order val="2"/>
          <c:tx>
            <c:v>DIR</c:v>
          </c:tx>
          <c:spPr>
            <a:solidFill>
              <a:srgbClr val="FFFFCC"/>
            </a:solidFill>
            <a:ln w="12700">
              <a:solidFill>
                <a:srgbClr val="000000"/>
              </a:solidFill>
              <a:prstDash val="solid"/>
            </a:ln>
          </c:spPr>
          <c:invertIfNegative val="0"/>
          <c:dLbls>
            <c:dLbl>
              <c:idx val="0"/>
              <c:layout>
                <c:manualLayout>
                  <c:x val="-1.7296367365844095E-3"/>
                  <c:y val="-2.62970205823486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96-4303-A46D-5569CA64D5A7}"/>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ken!$F$48:$J$48</c:f>
              <c:numCache>
                <c:formatCode>0%</c:formatCode>
                <c:ptCount val="5"/>
                <c:pt idx="0">
                  <c:v>0.33802756946683565</c:v>
                </c:pt>
                <c:pt idx="1">
                  <c:v>0.34073218168952207</c:v>
                </c:pt>
                <c:pt idx="2">
                  <c:v>0.34206902809143208</c:v>
                </c:pt>
                <c:pt idx="3">
                  <c:v>0.34303308648699959</c:v>
                </c:pt>
                <c:pt idx="4">
                  <c:v>0.34422710895441261</c:v>
                </c:pt>
              </c:numCache>
            </c:numRef>
          </c:val>
          <c:extLst>
            <c:ext xmlns:c16="http://schemas.microsoft.com/office/drawing/2014/chart" uri="{C3380CC4-5D6E-409C-BE32-E72D297353CC}">
              <c16:uniqueId val="{00000004-4496-4303-A46D-5569CA64D5A7}"/>
            </c:ext>
          </c:extLst>
        </c:ser>
        <c:dLbls>
          <c:showLegendKey val="0"/>
          <c:showVal val="1"/>
          <c:showCatName val="0"/>
          <c:showSerName val="0"/>
          <c:showPercent val="0"/>
          <c:showBubbleSize val="0"/>
        </c:dLbls>
        <c:gapWidth val="150"/>
        <c:overlap val="100"/>
        <c:axId val="601127680"/>
        <c:axId val="599528688"/>
      </c:barChart>
      <c:catAx>
        <c:axId val="60112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99528688"/>
        <c:crosses val="autoZero"/>
        <c:auto val="1"/>
        <c:lblAlgn val="ctr"/>
        <c:lblOffset val="100"/>
        <c:tickLblSkip val="1"/>
        <c:tickMarkSkip val="1"/>
        <c:noMultiLvlLbl val="0"/>
      </c:catAx>
      <c:valAx>
        <c:axId val="5995286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0112768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857142857142855"/>
          <c:y val="0.90882476455149064"/>
          <c:w val="0.26260504201680679"/>
          <c:h val="7.058823529411631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Resultaat</a:t>
            </a:r>
          </a:p>
        </c:rich>
      </c:tx>
      <c:layout>
        <c:manualLayout>
          <c:xMode val="edge"/>
          <c:yMode val="edge"/>
          <c:x val="0.42677868195346308"/>
          <c:y val="3.5502958579881658E-2"/>
        </c:manualLayout>
      </c:layout>
      <c:overlay val="0"/>
      <c:spPr>
        <a:noFill/>
        <a:ln w="25400">
          <a:noFill/>
        </a:ln>
      </c:spPr>
    </c:title>
    <c:autoTitleDeleted val="0"/>
    <c:plotArea>
      <c:layout>
        <c:manualLayout>
          <c:layoutTarget val="inner"/>
          <c:xMode val="edge"/>
          <c:yMode val="edge"/>
          <c:x val="0.20711318227925429"/>
          <c:y val="0.18639053254438054"/>
          <c:w val="0.76359910638312134"/>
          <c:h val="0.680473372781064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begr!$G$42:$K$42</c:f>
              <c:numCache>
                <c:formatCode>_-"€"\ * #,##0_-;_-"€"\ * #,##0\-;_-"€"\ * "-"_-;_-@_-</c:formatCode>
                <c:ptCount val="5"/>
                <c:pt idx="0">
                  <c:v>1605560.1243467357</c:v>
                </c:pt>
                <c:pt idx="1">
                  <c:v>1455537.9028555555</c:v>
                </c:pt>
                <c:pt idx="2">
                  <c:v>1350297.1544368265</c:v>
                </c:pt>
                <c:pt idx="3">
                  <c:v>1399867.1025558496</c:v>
                </c:pt>
                <c:pt idx="4">
                  <c:v>1405684.5385591409</c:v>
                </c:pt>
              </c:numCache>
            </c:numRef>
          </c:val>
          <c:extLst>
            <c:ext xmlns:c16="http://schemas.microsoft.com/office/drawing/2014/chart" uri="{C3380CC4-5D6E-409C-BE32-E72D297353CC}">
              <c16:uniqueId val="{00000000-0C0D-4A6F-AE54-6B445B7D17D9}"/>
            </c:ext>
          </c:extLst>
        </c:ser>
        <c:dLbls>
          <c:showLegendKey val="0"/>
          <c:showVal val="1"/>
          <c:showCatName val="0"/>
          <c:showSerName val="0"/>
          <c:showPercent val="0"/>
          <c:showBubbleSize val="0"/>
        </c:dLbls>
        <c:gapWidth val="150"/>
        <c:axId val="599527120"/>
        <c:axId val="599525552"/>
      </c:barChart>
      <c:catAx>
        <c:axId val="59952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99525552"/>
        <c:crosses val="autoZero"/>
        <c:auto val="1"/>
        <c:lblAlgn val="ctr"/>
        <c:lblOffset val="100"/>
        <c:tickLblSkip val="1"/>
        <c:tickMarkSkip val="1"/>
        <c:noMultiLvlLbl val="0"/>
      </c:catAx>
      <c:valAx>
        <c:axId val="59952555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995271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Leerlingenverloop</a:t>
            </a:r>
          </a:p>
        </c:rich>
      </c:tx>
      <c:layout>
        <c:manualLayout>
          <c:xMode val="edge"/>
          <c:yMode val="edge"/>
          <c:x val="0.3592436974789916"/>
          <c:y val="3.5294117647058851E-2"/>
        </c:manualLayout>
      </c:layout>
      <c:overlay val="0"/>
      <c:spPr>
        <a:noFill/>
        <a:ln w="25400">
          <a:noFill/>
        </a:ln>
      </c:spPr>
    </c:title>
    <c:autoTitleDeleted val="0"/>
    <c:plotArea>
      <c:layout>
        <c:manualLayout>
          <c:layoutTarget val="inner"/>
          <c:xMode val="edge"/>
          <c:yMode val="edge"/>
          <c:x val="0.12394957983193279"/>
          <c:y val="0.18529438375227855"/>
          <c:w val="0.84663865546219474"/>
          <c:h val="0.60000086167403699"/>
        </c:manualLayout>
      </c:layout>
      <c:barChart>
        <c:barDir val="col"/>
        <c:grouping val="clustered"/>
        <c:varyColors val="0"/>
        <c:ser>
          <c:idx val="0"/>
          <c:order val="0"/>
          <c:tx>
            <c:v>teldatum</c:v>
          </c:tx>
          <c:spPr>
            <a:solidFill>
              <a:srgbClr val="99CC00"/>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2020/21</c:v>
                </c:pt>
                <c:pt idx="1">
                  <c:v>2021/22</c:v>
                </c:pt>
                <c:pt idx="2">
                  <c:v>2022/23</c:v>
                </c:pt>
                <c:pt idx="3">
                  <c:v>2023/24</c:v>
                </c:pt>
                <c:pt idx="4">
                  <c:v>2024/25</c:v>
                </c:pt>
              </c:strCache>
            </c:strRef>
          </c:cat>
          <c:val>
            <c:numRef>
              <c:f>geg!$G$25:$K$25</c:f>
              <c:numCache>
                <c:formatCode>General</c:formatCode>
                <c:ptCount val="5"/>
                <c:pt idx="0">
                  <c:v>132</c:v>
                </c:pt>
                <c:pt idx="1">
                  <c:v>117</c:v>
                </c:pt>
                <c:pt idx="2">
                  <c:v>117</c:v>
                </c:pt>
                <c:pt idx="3">
                  <c:v>117</c:v>
                </c:pt>
                <c:pt idx="4">
                  <c:v>117</c:v>
                </c:pt>
              </c:numCache>
            </c:numRef>
          </c:val>
          <c:extLst>
            <c:ext xmlns:c16="http://schemas.microsoft.com/office/drawing/2014/chart" uri="{C3380CC4-5D6E-409C-BE32-E72D297353CC}">
              <c16:uniqueId val="{00000000-9D5B-4D38-8148-6EEF1AC94EF2}"/>
            </c:ext>
          </c:extLst>
        </c:ser>
        <c:ser>
          <c:idx val="1"/>
          <c:order val="1"/>
          <c:tx>
            <c:v>peildatum</c:v>
          </c:tx>
          <c:spPr>
            <a:solidFill>
              <a:srgbClr val="993366"/>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2020/21</c:v>
                </c:pt>
                <c:pt idx="1">
                  <c:v>2021/22</c:v>
                </c:pt>
                <c:pt idx="2">
                  <c:v>2022/23</c:v>
                </c:pt>
                <c:pt idx="3">
                  <c:v>2023/24</c:v>
                </c:pt>
                <c:pt idx="4">
                  <c:v>2024/25</c:v>
                </c:pt>
              </c:strCache>
            </c:strRef>
          </c:cat>
          <c:val>
            <c:numRef>
              <c:f>geg!$G$30:$K$30</c:f>
              <c:numCache>
                <c:formatCode>General</c:formatCode>
                <c:ptCount val="5"/>
                <c:pt idx="0">
                  <c:v>132</c:v>
                </c:pt>
                <c:pt idx="1">
                  <c:v>132</c:v>
                </c:pt>
                <c:pt idx="2">
                  <c:v>132</c:v>
                </c:pt>
                <c:pt idx="3">
                  <c:v>132</c:v>
                </c:pt>
                <c:pt idx="4">
                  <c:v>132</c:v>
                </c:pt>
              </c:numCache>
            </c:numRef>
          </c:val>
          <c:extLst>
            <c:ext xmlns:c16="http://schemas.microsoft.com/office/drawing/2014/chart" uri="{C3380CC4-5D6E-409C-BE32-E72D297353CC}">
              <c16:uniqueId val="{00000001-9D5B-4D38-8148-6EEF1AC94EF2}"/>
            </c:ext>
          </c:extLst>
        </c:ser>
        <c:dLbls>
          <c:showLegendKey val="0"/>
          <c:showVal val="1"/>
          <c:showCatName val="0"/>
          <c:showSerName val="0"/>
          <c:showPercent val="0"/>
          <c:showBubbleSize val="0"/>
        </c:dLbls>
        <c:gapWidth val="150"/>
        <c:axId val="599528296"/>
        <c:axId val="599527512"/>
      </c:barChart>
      <c:catAx>
        <c:axId val="599528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99527512"/>
        <c:crosses val="autoZero"/>
        <c:auto val="1"/>
        <c:lblAlgn val="ctr"/>
        <c:lblOffset val="100"/>
        <c:tickLblSkip val="1"/>
        <c:tickMarkSkip val="1"/>
        <c:noMultiLvlLbl val="0"/>
      </c:catAx>
      <c:valAx>
        <c:axId val="5995275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995282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39705882352941607"/>
          <c:y val="0.90882476455149064"/>
          <c:w val="0.30462184873949638"/>
          <c:h val="7.058823529411595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964404606656944"/>
          <c:y val="3.5190615835777136E-2"/>
        </c:manualLayout>
      </c:layout>
      <c:overlay val="0"/>
      <c:spPr>
        <a:noFill/>
        <a:ln w="25400">
          <a:noFill/>
        </a:ln>
      </c:spPr>
    </c:title>
    <c:autoTitleDeleted val="0"/>
    <c:plotArea>
      <c:layout>
        <c:manualLayout>
          <c:layoutTarget val="inner"/>
          <c:xMode val="edge"/>
          <c:yMode val="edge"/>
          <c:x val="0.13207574209689091"/>
          <c:y val="0.19941348973607345"/>
          <c:w val="0.83857614029771332"/>
          <c:h val="0.66568914956012426"/>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pers!$I$15:$M$15</c:f>
              <c:numCache>
                <c:formatCode>0.00</c:formatCode>
                <c:ptCount val="5"/>
                <c:pt idx="0">
                  <c:v>47.47</c:v>
                </c:pt>
                <c:pt idx="1">
                  <c:v>43</c:v>
                </c:pt>
                <c:pt idx="2">
                  <c:v>44</c:v>
                </c:pt>
                <c:pt idx="3">
                  <c:v>45</c:v>
                </c:pt>
                <c:pt idx="4">
                  <c:v>46</c:v>
                </c:pt>
              </c:numCache>
            </c:numRef>
          </c:val>
          <c:extLst>
            <c:ext xmlns:c16="http://schemas.microsoft.com/office/drawing/2014/chart" uri="{C3380CC4-5D6E-409C-BE32-E72D297353CC}">
              <c16:uniqueId val="{00000000-24DD-4EE1-AF98-D7A3843D8FFF}"/>
            </c:ext>
          </c:extLst>
        </c:ser>
        <c:dLbls>
          <c:showLegendKey val="0"/>
          <c:showVal val="1"/>
          <c:showCatName val="0"/>
          <c:showSerName val="0"/>
          <c:showPercent val="0"/>
          <c:showBubbleSize val="0"/>
        </c:dLbls>
        <c:gapWidth val="150"/>
        <c:axId val="599527904"/>
        <c:axId val="599525944"/>
      </c:barChart>
      <c:catAx>
        <c:axId val="59952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599525944"/>
        <c:crosses val="autoZero"/>
        <c:auto val="1"/>
        <c:lblAlgn val="ctr"/>
        <c:lblOffset val="100"/>
        <c:tickLblSkip val="1"/>
        <c:tickMarkSkip val="1"/>
        <c:noMultiLvlLbl val="0"/>
      </c:catAx>
      <c:valAx>
        <c:axId val="59952594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5995279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a:t>
            </a:r>
          </a:p>
        </c:rich>
      </c:tx>
      <c:layout>
        <c:manualLayout>
          <c:xMode val="edge"/>
          <c:yMode val="edge"/>
          <c:x val="0.39368465257632268"/>
          <c:y val="3.5608308605341282E-2"/>
        </c:manualLayout>
      </c:layout>
      <c:overlay val="0"/>
      <c:spPr>
        <a:noFill/>
        <a:ln w="25400">
          <a:noFill/>
        </a:ln>
      </c:spPr>
    </c:title>
    <c:autoTitleDeleted val="0"/>
    <c:plotArea>
      <c:layout>
        <c:manualLayout>
          <c:layoutTarget val="inner"/>
          <c:xMode val="edge"/>
          <c:yMode val="edge"/>
          <c:x val="0.11157906206729241"/>
          <c:y val="0.2017807077915022"/>
          <c:w val="0.85894825138595265"/>
          <c:h val="0.6617220270221382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5"/>
                <c:pt idx="0">
                  <c:v>2021</c:v>
                </c:pt>
                <c:pt idx="1">
                  <c:v>2022</c:v>
                </c:pt>
                <c:pt idx="2">
                  <c:v>2023</c:v>
                </c:pt>
                <c:pt idx="3">
                  <c:v>2024</c:v>
                </c:pt>
                <c:pt idx="4">
                  <c:v>2025</c:v>
                </c:pt>
              </c:numCache>
            </c:numRef>
          </c:cat>
          <c:val>
            <c:numRef>
              <c:f>act!$G$29:$K$29</c:f>
              <c:numCache>
                <c:formatCode>_-"€"\ * #,##0_-;_-"€"\ * #,##0\-;_-"€"\ * "-"_-;_-@_-</c:formatCode>
                <c:ptCount val="5"/>
                <c:pt idx="0">
                  <c:v>0</c:v>
                </c:pt>
                <c:pt idx="1">
                  <c:v>0</c:v>
                </c:pt>
                <c:pt idx="2">
                  <c:v>218750</c:v>
                </c:pt>
                <c:pt idx="3">
                  <c:v>0</c:v>
                </c:pt>
                <c:pt idx="4">
                  <c:v>0</c:v>
                </c:pt>
              </c:numCache>
            </c:numRef>
          </c:val>
          <c:extLst>
            <c:ext xmlns:c16="http://schemas.microsoft.com/office/drawing/2014/chart" uri="{C3380CC4-5D6E-409C-BE32-E72D297353CC}">
              <c16:uniqueId val="{00000000-9A67-4340-8BC9-CC109D2A62AD}"/>
            </c:ext>
          </c:extLst>
        </c:ser>
        <c:dLbls>
          <c:showLegendKey val="0"/>
          <c:showVal val="1"/>
          <c:showCatName val="0"/>
          <c:showSerName val="0"/>
          <c:showPercent val="0"/>
          <c:showBubbleSize val="0"/>
        </c:dLbls>
        <c:gapWidth val="150"/>
        <c:axId val="344330472"/>
        <c:axId val="344328904"/>
      </c:barChart>
      <c:catAx>
        <c:axId val="34433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344328904"/>
        <c:crosses val="autoZero"/>
        <c:auto val="1"/>
        <c:lblAlgn val="ctr"/>
        <c:lblOffset val="100"/>
        <c:tickLblSkip val="1"/>
        <c:tickMarkSkip val="1"/>
        <c:noMultiLvlLbl val="0"/>
      </c:catAx>
      <c:valAx>
        <c:axId val="3443289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3443304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701491</xdr:colOff>
      <xdr:row>2</xdr:row>
      <xdr:rowOff>94129</xdr:rowOff>
    </xdr:from>
    <xdr:to>
      <xdr:col>14</xdr:col>
      <xdr:colOff>590553</xdr:colOff>
      <xdr:row>4</xdr:row>
      <xdr:rowOff>165848</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07091" y="452717"/>
          <a:ext cx="1439956" cy="4303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173</xdr:row>
      <xdr:rowOff>0</xdr:rowOff>
    </xdr:from>
    <xdr:to>
      <xdr:col>14</xdr:col>
      <xdr:colOff>133350</xdr:colOff>
      <xdr:row>173</xdr:row>
      <xdr:rowOff>0</xdr:rowOff>
    </xdr:to>
    <xdr:pic>
      <xdr:nvPicPr>
        <xdr:cNvPr id="3274" name="Picture 102" descr="vosabblogo">
          <a:extLst>
            <a:ext uri="{FF2B5EF4-FFF2-40B4-BE49-F238E27FC236}">
              <a16:creationId xmlns:a16="http://schemas.microsoft.com/office/drawing/2014/main" id="{00000000-0008-0000-0600-0000CA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039100" y="25736550"/>
          <a:ext cx="1143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371478</xdr:colOff>
      <xdr:row>3</xdr:row>
      <xdr:rowOff>21851</xdr:rowOff>
    </xdr:from>
    <xdr:to>
      <xdr:col>20</xdr:col>
      <xdr:colOff>149042</xdr:colOff>
      <xdr:row>4</xdr:row>
      <xdr:rowOff>207308</xdr:rowOff>
    </xdr:to>
    <xdr:pic>
      <xdr:nvPicPr>
        <xdr:cNvPr id="3" name="Picture 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118419" y="492498"/>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29</xdr:row>
      <xdr:rowOff>0</xdr:rowOff>
    </xdr:from>
    <xdr:to>
      <xdr:col>17</xdr:col>
      <xdr:colOff>0</xdr:colOff>
      <xdr:row>49</xdr:row>
      <xdr:rowOff>9525</xdr:rowOff>
    </xdr:to>
    <xdr:graphicFrame macro="">
      <xdr:nvGraphicFramePr>
        <xdr:cNvPr id="86618" name="Chart 9">
          <a:extLst>
            <a:ext uri="{FF2B5EF4-FFF2-40B4-BE49-F238E27FC236}">
              <a16:creationId xmlns:a16="http://schemas.microsoft.com/office/drawing/2014/main" id="{00000000-0008-0000-0F00-00005A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29</xdr:row>
      <xdr:rowOff>9525</xdr:rowOff>
    </xdr:from>
    <xdr:to>
      <xdr:col>9</xdr:col>
      <xdr:colOff>0</xdr:colOff>
      <xdr:row>49</xdr:row>
      <xdr:rowOff>9525</xdr:rowOff>
    </xdr:to>
    <xdr:graphicFrame macro="">
      <xdr:nvGraphicFramePr>
        <xdr:cNvPr id="86619" name="Chart 11">
          <a:extLst>
            <a:ext uri="{FF2B5EF4-FFF2-40B4-BE49-F238E27FC236}">
              <a16:creationId xmlns:a16="http://schemas.microsoft.com/office/drawing/2014/main" id="{00000000-0008-0000-0F00-00005B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7</xdr:row>
      <xdr:rowOff>0</xdr:rowOff>
    </xdr:from>
    <xdr:to>
      <xdr:col>9</xdr:col>
      <xdr:colOff>0</xdr:colOff>
      <xdr:row>27</xdr:row>
      <xdr:rowOff>0</xdr:rowOff>
    </xdr:to>
    <xdr:graphicFrame macro="">
      <xdr:nvGraphicFramePr>
        <xdr:cNvPr id="86620" name="Chart 16">
          <a:extLst>
            <a:ext uri="{FF2B5EF4-FFF2-40B4-BE49-F238E27FC236}">
              <a16:creationId xmlns:a16="http://schemas.microsoft.com/office/drawing/2014/main" id="{00000000-0008-0000-0F00-00005C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86622" name="Chart 24">
          <a:extLst>
            <a:ext uri="{FF2B5EF4-FFF2-40B4-BE49-F238E27FC236}">
              <a16:creationId xmlns:a16="http://schemas.microsoft.com/office/drawing/2014/main" id="{00000000-0008-0000-0F00-00005E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371475</xdr:colOff>
      <xdr:row>73</xdr:row>
      <xdr:rowOff>0</xdr:rowOff>
    </xdr:from>
    <xdr:to>
      <xdr:col>17</xdr:col>
      <xdr:colOff>0</xdr:colOff>
      <xdr:row>92</xdr:row>
      <xdr:rowOff>142875</xdr:rowOff>
    </xdr:to>
    <xdr:graphicFrame macro="">
      <xdr:nvGraphicFramePr>
        <xdr:cNvPr id="86633" name="Chart 43">
          <a:extLst>
            <a:ext uri="{FF2B5EF4-FFF2-40B4-BE49-F238E27FC236}">
              <a16:creationId xmlns:a16="http://schemas.microsoft.com/office/drawing/2014/main" id="{00000000-0008-0000-0F00-000069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86634" name="Chart 44">
          <a:extLst>
            <a:ext uri="{FF2B5EF4-FFF2-40B4-BE49-F238E27FC236}">
              <a16:creationId xmlns:a16="http://schemas.microsoft.com/office/drawing/2014/main" id="{00000000-0008-0000-0F00-00006A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9</xdr:col>
      <xdr:colOff>0</xdr:colOff>
      <xdr:row>71</xdr:row>
      <xdr:rowOff>9525</xdr:rowOff>
    </xdr:to>
    <xdr:graphicFrame macro="">
      <xdr:nvGraphicFramePr>
        <xdr:cNvPr id="86635" name="Chart 45">
          <a:extLst>
            <a:ext uri="{FF2B5EF4-FFF2-40B4-BE49-F238E27FC236}">
              <a16:creationId xmlns:a16="http://schemas.microsoft.com/office/drawing/2014/main" id="{00000000-0008-0000-0F00-00006B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73</xdr:row>
      <xdr:rowOff>9525</xdr:rowOff>
    </xdr:from>
    <xdr:to>
      <xdr:col>8</xdr:col>
      <xdr:colOff>638175</xdr:colOff>
      <xdr:row>92</xdr:row>
      <xdr:rowOff>142875</xdr:rowOff>
    </xdr:to>
    <xdr:graphicFrame macro="">
      <xdr:nvGraphicFramePr>
        <xdr:cNvPr id="86639" name="Chart 61">
          <a:extLst>
            <a:ext uri="{FF2B5EF4-FFF2-40B4-BE49-F238E27FC236}">
              <a16:creationId xmlns:a16="http://schemas.microsoft.com/office/drawing/2014/main" id="{00000000-0008-0000-0F00-00006F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V165"/>
  <sheetViews>
    <sheetView showGridLines="0" tabSelected="1" zoomScale="90" zoomScaleNormal="90" workbookViewId="0">
      <selection activeCell="T18" sqref="T18"/>
    </sheetView>
  </sheetViews>
  <sheetFormatPr defaultColWidth="9.109375" defaultRowHeight="13.8" x14ac:dyDescent="0.3"/>
  <cols>
    <col min="1" max="1" width="3.6640625" style="43" customWidth="1"/>
    <col min="2" max="2" width="2.6640625" style="43" customWidth="1"/>
    <col min="3" max="5" width="9.109375" style="43"/>
    <col min="6" max="6" width="11.44140625" style="43" customWidth="1"/>
    <col min="7" max="11" width="9.109375" style="43"/>
    <col min="12" max="12" width="16.6640625" style="43" bestFit="1" customWidth="1"/>
    <col min="13" max="13" width="13.44140625" style="43" bestFit="1" customWidth="1"/>
    <col min="14" max="15" width="9.109375" style="43"/>
    <col min="16" max="16" width="2.6640625" style="43" customWidth="1"/>
    <col min="17" max="16384" width="9.109375" style="43"/>
  </cols>
  <sheetData>
    <row r="4" spans="3:13" ht="14.4" x14ac:dyDescent="0.3">
      <c r="C4" s="44" t="s">
        <v>635</v>
      </c>
      <c r="K4" s="45" t="s">
        <v>1</v>
      </c>
      <c r="L4" s="1249">
        <v>44538</v>
      </c>
      <c r="M4" s="46"/>
    </row>
    <row r="5" spans="3:13" x14ac:dyDescent="0.3">
      <c r="K5" s="1289"/>
    </row>
    <row r="6" spans="3:13" x14ac:dyDescent="0.3">
      <c r="C6" s="1203"/>
    </row>
    <row r="7" spans="3:13" x14ac:dyDescent="0.3">
      <c r="C7" s="49"/>
    </row>
    <row r="8" spans="3:13" x14ac:dyDescent="0.3">
      <c r="C8" s="47" t="s">
        <v>12</v>
      </c>
    </row>
    <row r="9" spans="3:13" x14ac:dyDescent="0.3">
      <c r="C9" s="1237" t="s">
        <v>623</v>
      </c>
    </row>
    <row r="10" spans="3:13" x14ac:dyDescent="0.3">
      <c r="C10" s="49" t="s">
        <v>631</v>
      </c>
    </row>
    <row r="11" spans="3:13" x14ac:dyDescent="0.3">
      <c r="C11" s="49"/>
    </row>
    <row r="12" spans="3:13" x14ac:dyDescent="0.3">
      <c r="C12" s="43" t="s">
        <v>2</v>
      </c>
      <c r="G12" s="48" t="s">
        <v>383</v>
      </c>
      <c r="H12" s="43" t="s">
        <v>3</v>
      </c>
    </row>
    <row r="13" spans="3:13" x14ac:dyDescent="0.3">
      <c r="C13" s="43" t="s">
        <v>4</v>
      </c>
    </row>
    <row r="15" spans="3:13" x14ac:dyDescent="0.3">
      <c r="C15" s="49" t="s">
        <v>632</v>
      </c>
    </row>
    <row r="16" spans="3:13" x14ac:dyDescent="0.3">
      <c r="C16" s="49" t="s">
        <v>630</v>
      </c>
    </row>
    <row r="17" spans="3:22" x14ac:dyDescent="0.3">
      <c r="C17" s="49" t="s">
        <v>624</v>
      </c>
    </row>
    <row r="18" spans="3:22" x14ac:dyDescent="0.3">
      <c r="C18" s="49"/>
    </row>
    <row r="19" spans="3:22" x14ac:dyDescent="0.3">
      <c r="C19" s="49" t="s">
        <v>17</v>
      </c>
    </row>
    <row r="20" spans="3:22" x14ac:dyDescent="0.3">
      <c r="C20" s="49" t="s">
        <v>18</v>
      </c>
    </row>
    <row r="21" spans="3:22" x14ac:dyDescent="0.3">
      <c r="C21" s="49" t="s">
        <v>19</v>
      </c>
    </row>
    <row r="22" spans="3:22" x14ac:dyDescent="0.3">
      <c r="C22" s="49" t="s">
        <v>384</v>
      </c>
    </row>
    <row r="24" spans="3:22" x14ac:dyDescent="0.3">
      <c r="C24" s="47" t="s">
        <v>100</v>
      </c>
    </row>
    <row r="25" spans="3:22" x14ac:dyDescent="0.3">
      <c r="C25" s="43" t="s">
        <v>20</v>
      </c>
    </row>
    <row r="26" spans="3:22" x14ac:dyDescent="0.3">
      <c r="C26" s="49" t="s">
        <v>584</v>
      </c>
      <c r="V26" s="49"/>
    </row>
    <row r="27" spans="3:22" x14ac:dyDescent="0.3">
      <c r="C27" s="43" t="s">
        <v>21</v>
      </c>
    </row>
    <row r="28" spans="3:22" x14ac:dyDescent="0.3">
      <c r="C28" s="43" t="s">
        <v>99</v>
      </c>
    </row>
    <row r="29" spans="3:22" x14ac:dyDescent="0.3">
      <c r="C29" s="43" t="s">
        <v>5</v>
      </c>
    </row>
    <row r="30" spans="3:22" x14ac:dyDescent="0.3">
      <c r="C30" s="49" t="s">
        <v>462</v>
      </c>
    </row>
    <row r="31" spans="3:22" x14ac:dyDescent="0.3">
      <c r="C31" s="43" t="s">
        <v>107</v>
      </c>
    </row>
    <row r="32" spans="3:22" x14ac:dyDescent="0.3">
      <c r="C32" s="43" t="s">
        <v>108</v>
      </c>
    </row>
    <row r="33" spans="3:3" x14ac:dyDescent="0.3">
      <c r="C33" s="43" t="s">
        <v>22</v>
      </c>
    </row>
    <row r="34" spans="3:3" x14ac:dyDescent="0.3">
      <c r="C34" s="43" t="s">
        <v>392</v>
      </c>
    </row>
    <row r="35" spans="3:3" x14ac:dyDescent="0.3">
      <c r="C35" s="49" t="s">
        <v>581</v>
      </c>
    </row>
    <row r="36" spans="3:3" x14ac:dyDescent="0.3">
      <c r="C36" s="49" t="s">
        <v>612</v>
      </c>
    </row>
    <row r="38" spans="3:3" x14ac:dyDescent="0.3">
      <c r="C38" s="47" t="s">
        <v>101</v>
      </c>
    </row>
    <row r="40" spans="3:3" x14ac:dyDescent="0.3">
      <c r="C40" s="792" t="s">
        <v>458</v>
      </c>
    </row>
    <row r="41" spans="3:3" x14ac:dyDescent="0.3">
      <c r="C41" s="43" t="s">
        <v>35</v>
      </c>
    </row>
    <row r="42" spans="3:3" x14ac:dyDescent="0.3">
      <c r="C42" s="49" t="s">
        <v>596</v>
      </c>
    </row>
    <row r="43" spans="3:3" x14ac:dyDescent="0.3">
      <c r="C43" s="49" t="s">
        <v>609</v>
      </c>
    </row>
    <row r="44" spans="3:3" x14ac:dyDescent="0.3">
      <c r="C44" s="49" t="s">
        <v>613</v>
      </c>
    </row>
    <row r="45" spans="3:3" x14ac:dyDescent="0.3">
      <c r="C45" s="49" t="s">
        <v>610</v>
      </c>
    </row>
    <row r="46" spans="3:3" x14ac:dyDescent="0.3">
      <c r="C46" s="49" t="s">
        <v>508</v>
      </c>
    </row>
    <row r="47" spans="3:3" x14ac:dyDescent="0.3">
      <c r="C47" s="43" t="s">
        <v>48</v>
      </c>
    </row>
    <row r="48" spans="3:3" x14ac:dyDescent="0.3">
      <c r="C48" s="43" t="s">
        <v>360</v>
      </c>
    </row>
    <row r="50" spans="3:3" x14ac:dyDescent="0.3">
      <c r="C50" s="50" t="s">
        <v>573</v>
      </c>
    </row>
    <row r="51" spans="3:3" x14ac:dyDescent="0.3">
      <c r="C51" s="50" t="s">
        <v>574</v>
      </c>
    </row>
    <row r="53" spans="3:3" x14ac:dyDescent="0.3">
      <c r="C53" s="49" t="s">
        <v>509</v>
      </c>
    </row>
    <row r="54" spans="3:3" x14ac:dyDescent="0.3">
      <c r="C54" s="49" t="s">
        <v>463</v>
      </c>
    </row>
    <row r="55" spans="3:3" x14ac:dyDescent="0.3">
      <c r="C55" s="49" t="s">
        <v>464</v>
      </c>
    </row>
    <row r="56" spans="3:3" x14ac:dyDescent="0.3">
      <c r="C56" s="49" t="s">
        <v>465</v>
      </c>
    </row>
    <row r="57" spans="3:3" x14ac:dyDescent="0.3">
      <c r="C57" s="49" t="s">
        <v>560</v>
      </c>
    </row>
    <row r="59" spans="3:3" x14ac:dyDescent="0.3">
      <c r="C59" s="792" t="s">
        <v>430</v>
      </c>
    </row>
    <row r="60" spans="3:3" x14ac:dyDescent="0.3">
      <c r="C60" s="49" t="s">
        <v>614</v>
      </c>
    </row>
    <row r="61" spans="3:3" x14ac:dyDescent="0.3">
      <c r="C61" s="43" t="s">
        <v>605</v>
      </c>
    </row>
    <row r="62" spans="3:3" x14ac:dyDescent="0.3">
      <c r="C62" s="43" t="s">
        <v>216</v>
      </c>
    </row>
    <row r="63" spans="3:3" x14ac:dyDescent="0.3">
      <c r="C63" s="49" t="s">
        <v>466</v>
      </c>
    </row>
    <row r="65" spans="3:3" x14ac:dyDescent="0.3">
      <c r="C65" s="51" t="s">
        <v>53</v>
      </c>
    </row>
    <row r="66" spans="3:3" x14ac:dyDescent="0.3">
      <c r="C66" s="1175" t="s">
        <v>569</v>
      </c>
    </row>
    <row r="67" spans="3:3" x14ac:dyDescent="0.3">
      <c r="C67" s="1175" t="s">
        <v>606</v>
      </c>
    </row>
    <row r="68" spans="3:3" x14ac:dyDescent="0.3">
      <c r="C68" s="785" t="s">
        <v>431</v>
      </c>
    </row>
    <row r="69" spans="3:3" x14ac:dyDescent="0.3">
      <c r="C69" s="52" t="s">
        <v>58</v>
      </c>
    </row>
    <row r="70" spans="3:3" x14ac:dyDescent="0.3">
      <c r="C70" s="785" t="s">
        <v>557</v>
      </c>
    </row>
    <row r="71" spans="3:3" x14ac:dyDescent="0.3">
      <c r="C71" s="785" t="s">
        <v>607</v>
      </c>
    </row>
    <row r="72" spans="3:3" x14ac:dyDescent="0.3">
      <c r="C72" s="52" t="s">
        <v>393</v>
      </c>
    </row>
    <row r="73" spans="3:3" x14ac:dyDescent="0.3">
      <c r="C73" s="52"/>
    </row>
    <row r="74" spans="3:3" x14ac:dyDescent="0.3">
      <c r="C74" s="53" t="s">
        <v>110</v>
      </c>
    </row>
    <row r="75" spans="3:3" x14ac:dyDescent="0.3">
      <c r="C75" s="785" t="s">
        <v>597</v>
      </c>
    </row>
    <row r="76" spans="3:3" x14ac:dyDescent="0.3">
      <c r="C76" s="52" t="s">
        <v>59</v>
      </c>
    </row>
    <row r="77" spans="3:3" x14ac:dyDescent="0.3">
      <c r="C77" s="52" t="s">
        <v>60</v>
      </c>
    </row>
    <row r="78" spans="3:3" x14ac:dyDescent="0.3">
      <c r="C78" s="52" t="s">
        <v>51</v>
      </c>
    </row>
    <row r="79" spans="3:3" x14ac:dyDescent="0.3">
      <c r="C79" s="1175" t="s">
        <v>548</v>
      </c>
    </row>
    <row r="80" spans="3:3" x14ac:dyDescent="0.3">
      <c r="C80" s="1175" t="s">
        <v>59</v>
      </c>
    </row>
    <row r="81" spans="3:3" x14ac:dyDescent="0.3">
      <c r="C81" s="1175" t="s">
        <v>60</v>
      </c>
    </row>
    <row r="82" spans="3:3" x14ac:dyDescent="0.3">
      <c r="C82" s="1175" t="s">
        <v>549</v>
      </c>
    </row>
    <row r="83" spans="3:3" x14ac:dyDescent="0.3">
      <c r="C83" s="1175" t="s">
        <v>604</v>
      </c>
    </row>
    <row r="84" spans="3:3" x14ac:dyDescent="0.3">
      <c r="C84" s="1175" t="s">
        <v>600</v>
      </c>
    </row>
    <row r="85" spans="3:3" x14ac:dyDescent="0.3">
      <c r="C85" s="1175" t="s">
        <v>601</v>
      </c>
    </row>
    <row r="86" spans="3:3" x14ac:dyDescent="0.3">
      <c r="C86" s="1175" t="s">
        <v>634</v>
      </c>
    </row>
    <row r="87" spans="3:3" x14ac:dyDescent="0.3">
      <c r="C87" s="1175" t="s">
        <v>550</v>
      </c>
    </row>
    <row r="88" spans="3:3" x14ac:dyDescent="0.3">
      <c r="C88" s="1176" t="s">
        <v>598</v>
      </c>
    </row>
    <row r="89" spans="3:3" x14ac:dyDescent="0.3">
      <c r="C89" s="785"/>
    </row>
    <row r="90" spans="3:3" x14ac:dyDescent="0.3">
      <c r="C90" s="53" t="s">
        <v>111</v>
      </c>
    </row>
    <row r="91" spans="3:3" x14ac:dyDescent="0.3">
      <c r="C91" s="785" t="s">
        <v>599</v>
      </c>
    </row>
    <row r="92" spans="3:3" x14ac:dyDescent="0.3">
      <c r="C92" s="52" t="s">
        <v>61</v>
      </c>
    </row>
    <row r="93" spans="3:3" x14ac:dyDescent="0.3">
      <c r="C93" s="52" t="s">
        <v>62</v>
      </c>
    </row>
    <row r="94" spans="3:3" x14ac:dyDescent="0.3">
      <c r="C94" s="827" t="s">
        <v>615</v>
      </c>
    </row>
    <row r="95" spans="3:3" x14ac:dyDescent="0.3">
      <c r="C95" s="52" t="s">
        <v>63</v>
      </c>
    </row>
    <row r="96" spans="3:3" x14ac:dyDescent="0.3">
      <c r="C96" s="52" t="s">
        <v>64</v>
      </c>
    </row>
    <row r="97" spans="3:3" x14ac:dyDescent="0.3">
      <c r="C97" s="52"/>
    </row>
    <row r="98" spans="3:3" x14ac:dyDescent="0.3">
      <c r="C98" s="828" t="s">
        <v>467</v>
      </c>
    </row>
    <row r="99" spans="3:3" x14ac:dyDescent="0.3">
      <c r="C99" s="52" t="s">
        <v>109</v>
      </c>
    </row>
    <row r="101" spans="3:3" x14ac:dyDescent="0.3">
      <c r="C101" s="47" t="s">
        <v>112</v>
      </c>
    </row>
    <row r="102" spans="3:3" x14ac:dyDescent="0.3">
      <c r="C102" s="43" t="s">
        <v>214</v>
      </c>
    </row>
    <row r="103" spans="3:3" x14ac:dyDescent="0.3">
      <c r="C103" s="43" t="s">
        <v>361</v>
      </c>
    </row>
    <row r="104" spans="3:3" x14ac:dyDescent="0.3">
      <c r="C104" s="43" t="s">
        <v>362</v>
      </c>
    </row>
    <row r="105" spans="3:3" x14ac:dyDescent="0.3">
      <c r="C105" s="49" t="s">
        <v>65</v>
      </c>
    </row>
    <row r="106" spans="3:3" x14ac:dyDescent="0.3">
      <c r="C106" s="43" t="s">
        <v>66</v>
      </c>
    </row>
    <row r="107" spans="3:3" x14ac:dyDescent="0.3">
      <c r="C107" s="43" t="s">
        <v>67</v>
      </c>
    </row>
    <row r="109" spans="3:3" x14ac:dyDescent="0.3">
      <c r="C109" s="47" t="s">
        <v>113</v>
      </c>
    </row>
    <row r="110" spans="3:3" x14ac:dyDescent="0.3">
      <c r="C110" s="43" t="s">
        <v>348</v>
      </c>
    </row>
    <row r="111" spans="3:3" x14ac:dyDescent="0.3">
      <c r="C111" s="43" t="s">
        <v>349</v>
      </c>
    </row>
    <row r="113" spans="3:3" x14ac:dyDescent="0.3">
      <c r="C113" s="47" t="s">
        <v>114</v>
      </c>
    </row>
    <row r="114" spans="3:3" x14ac:dyDescent="0.3">
      <c r="C114" s="43" t="s">
        <v>27</v>
      </c>
    </row>
    <row r="115" spans="3:3" x14ac:dyDescent="0.3">
      <c r="C115" s="49" t="s">
        <v>561</v>
      </c>
    </row>
    <row r="116" spans="3:3" x14ac:dyDescent="0.3">
      <c r="C116" s="43" t="s">
        <v>28</v>
      </c>
    </row>
    <row r="118" spans="3:3" x14ac:dyDescent="0.3">
      <c r="C118" s="47" t="s">
        <v>115</v>
      </c>
    </row>
    <row r="119" spans="3:3" x14ac:dyDescent="0.3">
      <c r="C119" s="43" t="s">
        <v>350</v>
      </c>
    </row>
    <row r="120" spans="3:3" x14ac:dyDescent="0.3">
      <c r="C120" s="49" t="s">
        <v>559</v>
      </c>
    </row>
    <row r="121" spans="3:3" hidden="1" x14ac:dyDescent="0.3">
      <c r="C121" s="49" t="s">
        <v>558</v>
      </c>
    </row>
    <row r="123" spans="3:3" x14ac:dyDescent="0.3">
      <c r="C123" s="47" t="s">
        <v>116</v>
      </c>
    </row>
    <row r="124" spans="3:3" x14ac:dyDescent="0.3">
      <c r="C124" s="43" t="s">
        <v>394</v>
      </c>
    </row>
    <row r="125" spans="3:3" x14ac:dyDescent="0.3">
      <c r="C125" s="43" t="s">
        <v>118</v>
      </c>
    </row>
    <row r="127" spans="3:3" x14ac:dyDescent="0.3">
      <c r="C127" s="47" t="s">
        <v>117</v>
      </c>
    </row>
    <row r="128" spans="3:3" x14ac:dyDescent="0.3">
      <c r="C128" s="52" t="s">
        <v>69</v>
      </c>
    </row>
    <row r="129" spans="3:3" x14ac:dyDescent="0.3">
      <c r="C129" s="52" t="s">
        <v>70</v>
      </c>
    </row>
    <row r="131" spans="3:3" x14ac:dyDescent="0.3">
      <c r="C131" s="1203" t="s">
        <v>602</v>
      </c>
    </row>
    <row r="132" spans="3:3" x14ac:dyDescent="0.3">
      <c r="C132" s="785" t="s">
        <v>428</v>
      </c>
    </row>
    <row r="134" spans="3:3" x14ac:dyDescent="0.3">
      <c r="C134" s="1203" t="s">
        <v>578</v>
      </c>
    </row>
    <row r="135" spans="3:3" x14ac:dyDescent="0.3">
      <c r="C135" s="49" t="s">
        <v>579</v>
      </c>
    </row>
    <row r="136" spans="3:3" x14ac:dyDescent="0.3">
      <c r="C136" s="49" t="s">
        <v>580</v>
      </c>
    </row>
    <row r="138" spans="3:3" x14ac:dyDescent="0.3">
      <c r="C138" s="47" t="s">
        <v>29</v>
      </c>
    </row>
    <row r="139" spans="3:3" x14ac:dyDescent="0.3">
      <c r="C139" s="52" t="s">
        <v>71</v>
      </c>
    </row>
    <row r="140" spans="3:3" x14ac:dyDescent="0.3">
      <c r="C140" s="52" t="s">
        <v>72</v>
      </c>
    </row>
    <row r="141" spans="3:3" x14ac:dyDescent="0.3">
      <c r="C141" s="52" t="s">
        <v>52</v>
      </c>
    </row>
    <row r="142" spans="3:3" x14ac:dyDescent="0.3">
      <c r="C142" s="52" t="s">
        <v>73</v>
      </c>
    </row>
    <row r="144" spans="3:3" x14ac:dyDescent="0.3">
      <c r="C144" s="47" t="s">
        <v>14</v>
      </c>
    </row>
    <row r="145" spans="3:7" x14ac:dyDescent="0.3">
      <c r="C145" s="43" t="s">
        <v>15</v>
      </c>
    </row>
    <row r="146" spans="3:7" x14ac:dyDescent="0.3">
      <c r="C146" s="49" t="s">
        <v>16</v>
      </c>
    </row>
    <row r="148" spans="3:7" x14ac:dyDescent="0.3">
      <c r="C148" s="47" t="s">
        <v>351</v>
      </c>
    </row>
    <row r="149" spans="3:7" x14ac:dyDescent="0.3">
      <c r="C149" s="52" t="s">
        <v>359</v>
      </c>
    </row>
    <row r="150" spans="3:7" x14ac:dyDescent="0.3">
      <c r="C150" s="52" t="s">
        <v>136</v>
      </c>
    </row>
    <row r="151" spans="3:7" x14ac:dyDescent="0.3">
      <c r="C151" s="49" t="s">
        <v>616</v>
      </c>
    </row>
    <row r="152" spans="3:7" x14ac:dyDescent="0.3">
      <c r="C152" s="43" t="s">
        <v>119</v>
      </c>
    </row>
    <row r="153" spans="3:7" x14ac:dyDescent="0.3">
      <c r="C153" s="43" t="s">
        <v>215</v>
      </c>
    </row>
    <row r="155" spans="3:7" x14ac:dyDescent="0.3">
      <c r="C155" s="47" t="s">
        <v>31</v>
      </c>
    </row>
    <row r="156" spans="3:7" x14ac:dyDescent="0.3">
      <c r="C156" s="49" t="s">
        <v>608</v>
      </c>
    </row>
    <row r="157" spans="3:7" x14ac:dyDescent="0.3">
      <c r="C157" s="49" t="s">
        <v>617</v>
      </c>
    </row>
    <row r="158" spans="3:7" x14ac:dyDescent="0.3">
      <c r="C158" s="49"/>
    </row>
    <row r="159" spans="3:7" x14ac:dyDescent="0.3">
      <c r="C159" s="1238" t="s">
        <v>571</v>
      </c>
      <c r="D159" s="1237"/>
      <c r="E159" s="1237"/>
      <c r="F159" s="1237"/>
      <c r="G159" s="1237"/>
    </row>
    <row r="160" spans="3:7" x14ac:dyDescent="0.3">
      <c r="C160" s="1237" t="s">
        <v>633</v>
      </c>
      <c r="D160" s="1237"/>
      <c r="E160" s="1237"/>
      <c r="F160" s="1237"/>
      <c r="G160" s="1237"/>
    </row>
    <row r="161" spans="3:8" x14ac:dyDescent="0.3">
      <c r="C161" s="1237" t="s">
        <v>570</v>
      </c>
      <c r="D161" s="1237"/>
      <c r="E161" s="1237"/>
      <c r="F161" s="1237"/>
      <c r="G161" s="1237"/>
      <c r="H161" s="54"/>
    </row>
    <row r="162" spans="3:8" x14ac:dyDescent="0.3">
      <c r="C162" s="1237"/>
      <c r="D162" s="1237"/>
      <c r="E162" s="1237"/>
      <c r="F162" s="1237"/>
      <c r="G162" s="1237"/>
      <c r="H162" s="55"/>
    </row>
    <row r="163" spans="3:8" x14ac:dyDescent="0.3">
      <c r="C163" s="1238" t="s">
        <v>32</v>
      </c>
      <c r="D163" s="1237"/>
      <c r="E163" s="1237"/>
      <c r="F163" s="1237"/>
      <c r="G163" s="1237"/>
      <c r="H163" s="55"/>
    </row>
    <row r="164" spans="3:8" x14ac:dyDescent="0.3">
      <c r="C164" s="1175" t="s">
        <v>625</v>
      </c>
      <c r="D164" s="1237"/>
      <c r="E164" s="1237"/>
      <c r="F164" s="1237"/>
      <c r="G164" s="1237"/>
    </row>
    <row r="165" spans="3:8" x14ac:dyDescent="0.3">
      <c r="C165" s="1237"/>
      <c r="D165" s="1237"/>
      <c r="E165" s="1237"/>
      <c r="F165" s="1239"/>
      <c r="G165" s="1237"/>
    </row>
  </sheetData>
  <sheetProtection algorithmName="SHA-512" hashValue="HmolsmuvEOiWCtnVSzgY7QvJMFHd9R/Ii9UuuHRLOq1GxiKQ5wk0nucqTQY7ckVvWW8K5pr8g9zoxVwguT+E0g==" saltValue="b8/fuPQ3LI0wzR9NbnlemA==" spinCount="100000" sheet="1" objects="1" scenarios="1"/>
  <phoneticPr fontId="0" type="noConversion"/>
  <pageMargins left="0.74803149606299213" right="0.74803149606299213"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rowBreaks count="1" manualBreakCount="1">
    <brk id="89" min="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56"/>
  <sheetViews>
    <sheetView zoomScale="85" zoomScaleNormal="85" workbookViewId="0">
      <pane ySplit="9" topLeftCell="A22" activePane="bottomLeft" state="frozen"/>
      <selection activeCell="A4" sqref="A4:XFD4"/>
      <selection pane="bottomLeft" activeCell="I37" sqref="I37"/>
    </sheetView>
  </sheetViews>
  <sheetFormatPr defaultColWidth="9.109375" defaultRowHeight="13.8" x14ac:dyDescent="0.3"/>
  <cols>
    <col min="1" max="1" width="3.6640625" style="410" customWidth="1"/>
    <col min="2" max="3" width="2.6640625" style="410" customWidth="1"/>
    <col min="4" max="4" width="45.6640625" style="410" customWidth="1"/>
    <col min="5" max="5" width="2.6640625" style="410" customWidth="1"/>
    <col min="6" max="8" width="14.88671875" style="410" customWidth="1"/>
    <col min="9" max="9" width="14.88671875" style="417" customWidth="1"/>
    <col min="10" max="12" width="14.88671875" style="410" customWidth="1"/>
    <col min="13" max="13" width="2.6640625" style="410" customWidth="1"/>
    <col min="14" max="16384" width="9.109375" style="410"/>
  </cols>
  <sheetData>
    <row r="1" spans="2:13" ht="12.75" customHeight="1" x14ac:dyDescent="0.3"/>
    <row r="2" spans="2:13" x14ac:dyDescent="0.3">
      <c r="B2" s="418"/>
      <c r="C2" s="419"/>
      <c r="D2" s="419"/>
      <c r="E2" s="419"/>
      <c r="F2" s="419"/>
      <c r="G2" s="419"/>
      <c r="H2" s="420"/>
      <c r="I2" s="419"/>
      <c r="J2" s="419"/>
      <c r="K2" s="419"/>
      <c r="L2" s="419"/>
      <c r="M2" s="421"/>
    </row>
    <row r="3" spans="2:13" x14ac:dyDescent="0.3">
      <c r="B3" s="422"/>
      <c r="C3" s="423"/>
      <c r="D3" s="423"/>
      <c r="E3" s="423"/>
      <c r="F3" s="423"/>
      <c r="G3" s="423"/>
      <c r="H3" s="424"/>
      <c r="I3" s="423"/>
      <c r="J3" s="423"/>
      <c r="K3" s="423"/>
      <c r="L3" s="423"/>
      <c r="M3" s="425"/>
    </row>
    <row r="4" spans="2:13" s="414" customFormat="1" ht="18" x14ac:dyDescent="0.35">
      <c r="B4" s="850"/>
      <c r="C4" s="834" t="s">
        <v>401</v>
      </c>
      <c r="D4" s="427"/>
      <c r="E4" s="427"/>
      <c r="F4" s="427"/>
      <c r="G4" s="427"/>
      <c r="H4" s="427"/>
      <c r="I4" s="427"/>
      <c r="J4" s="427"/>
      <c r="K4" s="427"/>
      <c r="L4" s="427"/>
      <c r="M4" s="88"/>
    </row>
    <row r="5" spans="2:13" s="414" customFormat="1" ht="18" x14ac:dyDescent="0.35">
      <c r="B5" s="426"/>
      <c r="C5" s="68" t="str">
        <f>geg!F11</f>
        <v>Voorbeeldschool</v>
      </c>
      <c r="D5" s="67"/>
      <c r="E5" s="427"/>
      <c r="F5" s="427"/>
      <c r="G5" s="427"/>
      <c r="H5" s="427"/>
      <c r="I5" s="427"/>
      <c r="J5" s="427"/>
      <c r="K5" s="427"/>
      <c r="L5" s="427"/>
      <c r="M5" s="88"/>
    </row>
    <row r="6" spans="2:13" ht="14.4" customHeight="1" x14ac:dyDescent="0.3">
      <c r="B6" s="461"/>
      <c r="C6" s="462"/>
      <c r="D6" s="463"/>
      <c r="E6" s="73"/>
      <c r="F6" s="73"/>
      <c r="G6" s="73"/>
      <c r="H6" s="73"/>
      <c r="I6" s="73"/>
      <c r="J6" s="73"/>
      <c r="K6" s="73"/>
      <c r="L6" s="73"/>
      <c r="M6" s="76"/>
    </row>
    <row r="7" spans="2:13" ht="14.4" customHeight="1" x14ac:dyDescent="0.3">
      <c r="B7" s="461"/>
      <c r="C7" s="462"/>
      <c r="D7" s="463"/>
      <c r="E7" s="73"/>
      <c r="F7" s="876"/>
      <c r="G7" s="876"/>
      <c r="H7" s="876"/>
      <c r="I7" s="876"/>
      <c r="J7" s="876"/>
      <c r="K7" s="876"/>
      <c r="L7" s="876"/>
      <c r="M7" s="76"/>
    </row>
    <row r="8" spans="2:13" s="12" customFormat="1" ht="14.4" customHeight="1" x14ac:dyDescent="0.3">
      <c r="B8" s="464"/>
      <c r="C8" s="465"/>
      <c r="D8" s="433"/>
      <c r="E8" s="466"/>
      <c r="F8" s="871">
        <f>tab!B4</f>
        <v>2020</v>
      </c>
      <c r="G8" s="871">
        <f t="shared" ref="G8:L8" si="0">F8+1</f>
        <v>2021</v>
      </c>
      <c r="H8" s="871">
        <f t="shared" si="0"/>
        <v>2022</v>
      </c>
      <c r="I8" s="871">
        <f t="shared" si="0"/>
        <v>2023</v>
      </c>
      <c r="J8" s="871">
        <f t="shared" si="0"/>
        <v>2024</v>
      </c>
      <c r="K8" s="871">
        <f t="shared" si="0"/>
        <v>2025</v>
      </c>
      <c r="L8" s="871">
        <f t="shared" si="0"/>
        <v>2026</v>
      </c>
      <c r="M8" s="467"/>
    </row>
    <row r="9" spans="2:13" ht="14.4" customHeight="1" x14ac:dyDescent="0.3">
      <c r="B9" s="461"/>
      <c r="C9" s="462"/>
      <c r="D9" s="159"/>
      <c r="E9" s="73"/>
      <c r="F9" s="73"/>
      <c r="G9" s="73"/>
      <c r="H9" s="73"/>
      <c r="I9" s="73"/>
      <c r="J9" s="73"/>
      <c r="K9" s="73"/>
      <c r="L9" s="73"/>
      <c r="M9" s="76"/>
    </row>
    <row r="10" spans="2:13" ht="14.4" customHeight="1" x14ac:dyDescent="0.3">
      <c r="B10" s="468"/>
      <c r="C10" s="469"/>
      <c r="D10" s="470"/>
      <c r="E10" s="436"/>
      <c r="F10" s="436"/>
      <c r="G10" s="436"/>
      <c r="H10" s="436"/>
      <c r="I10" s="436"/>
      <c r="J10" s="436"/>
      <c r="K10" s="436"/>
      <c r="M10" s="425"/>
    </row>
    <row r="11" spans="2:13" ht="14.4" customHeight="1" x14ac:dyDescent="0.3">
      <c r="B11" s="468"/>
      <c r="C11" s="471"/>
      <c r="D11" s="882" t="s">
        <v>270</v>
      </c>
      <c r="E11" s="123"/>
      <c r="F11" s="123"/>
      <c r="G11" s="123"/>
      <c r="H11" s="123"/>
      <c r="I11" s="123"/>
      <c r="J11" s="123"/>
      <c r="K11" s="123"/>
      <c r="M11" s="425"/>
    </row>
    <row r="12" spans="2:13" ht="14.4" customHeight="1" x14ac:dyDescent="0.3">
      <c r="B12" s="468"/>
      <c r="C12" s="471"/>
      <c r="D12" s="472" t="s">
        <v>231</v>
      </c>
      <c r="E12" s="123"/>
      <c r="F12" s="473">
        <v>0</v>
      </c>
      <c r="G12" s="838">
        <f t="shared" ref="G12:L17" si="1">F47</f>
        <v>0</v>
      </c>
      <c r="H12" s="838">
        <f t="shared" si="1"/>
        <v>0</v>
      </c>
      <c r="I12" s="838">
        <f t="shared" si="1"/>
        <v>0</v>
      </c>
      <c r="J12" s="838">
        <f t="shared" si="1"/>
        <v>0</v>
      </c>
      <c r="K12" s="838">
        <f t="shared" si="1"/>
        <v>0</v>
      </c>
      <c r="L12" s="838">
        <f t="shared" si="1"/>
        <v>0</v>
      </c>
      <c r="M12" s="425"/>
    </row>
    <row r="13" spans="2:13" ht="14.4" customHeight="1" x14ac:dyDescent="0.3">
      <c r="B13" s="468"/>
      <c r="C13" s="471"/>
      <c r="D13" s="472" t="s">
        <v>232</v>
      </c>
      <c r="E13" s="123"/>
      <c r="F13" s="474">
        <v>0</v>
      </c>
      <c r="G13" s="838">
        <f t="shared" si="1"/>
        <v>0</v>
      </c>
      <c r="H13" s="838">
        <f t="shared" si="1"/>
        <v>0</v>
      </c>
      <c r="I13" s="838">
        <f t="shared" si="1"/>
        <v>0</v>
      </c>
      <c r="J13" s="838">
        <f t="shared" si="1"/>
        <v>0</v>
      </c>
      <c r="K13" s="838">
        <f t="shared" si="1"/>
        <v>0</v>
      </c>
      <c r="L13" s="838">
        <f t="shared" si="1"/>
        <v>0</v>
      </c>
      <c r="M13" s="425"/>
    </row>
    <row r="14" spans="2:13" ht="14.4" customHeight="1" x14ac:dyDescent="0.3">
      <c r="B14" s="468"/>
      <c r="C14" s="471"/>
      <c r="D14" s="475" t="s">
        <v>46</v>
      </c>
      <c r="E14" s="123"/>
      <c r="F14" s="474">
        <v>0</v>
      </c>
      <c r="G14" s="838">
        <f t="shared" si="1"/>
        <v>0</v>
      </c>
      <c r="H14" s="838">
        <f t="shared" si="1"/>
        <v>0</v>
      </c>
      <c r="I14" s="838">
        <f t="shared" si="1"/>
        <v>0</v>
      </c>
      <c r="J14" s="838">
        <f t="shared" si="1"/>
        <v>0</v>
      </c>
      <c r="K14" s="838">
        <f t="shared" si="1"/>
        <v>0</v>
      </c>
      <c r="L14" s="838">
        <f t="shared" si="1"/>
        <v>0</v>
      </c>
      <c r="M14" s="425"/>
    </row>
    <row r="15" spans="2:13" ht="14.4" customHeight="1" x14ac:dyDescent="0.3">
      <c r="B15" s="468"/>
      <c r="C15" s="471"/>
      <c r="D15" s="475" t="s">
        <v>47</v>
      </c>
      <c r="E15" s="123"/>
      <c r="F15" s="474">
        <v>0</v>
      </c>
      <c r="G15" s="838">
        <f t="shared" si="1"/>
        <v>-43750</v>
      </c>
      <c r="H15" s="838">
        <f t="shared" si="1"/>
        <v>-87500</v>
      </c>
      <c r="I15" s="838">
        <f t="shared" si="1"/>
        <v>-131250</v>
      </c>
      <c r="J15" s="838">
        <f t="shared" si="1"/>
        <v>0</v>
      </c>
      <c r="K15" s="838">
        <f t="shared" si="1"/>
        <v>-43750</v>
      </c>
      <c r="L15" s="838">
        <f t="shared" si="1"/>
        <v>-87500</v>
      </c>
      <c r="M15" s="425"/>
    </row>
    <row r="16" spans="2:13" ht="14.4" customHeight="1" x14ac:dyDescent="0.3">
      <c r="B16" s="468"/>
      <c r="C16" s="471"/>
      <c r="D16" s="472" t="s">
        <v>262</v>
      </c>
      <c r="E16" s="123"/>
      <c r="F16" s="474">
        <v>0</v>
      </c>
      <c r="G16" s="838">
        <f t="shared" si="1"/>
        <v>0</v>
      </c>
      <c r="H16" s="838">
        <f t="shared" si="1"/>
        <v>0</v>
      </c>
      <c r="I16" s="838">
        <f t="shared" si="1"/>
        <v>0</v>
      </c>
      <c r="J16" s="838">
        <f t="shared" si="1"/>
        <v>0</v>
      </c>
      <c r="K16" s="838">
        <f t="shared" si="1"/>
        <v>0</v>
      </c>
      <c r="L16" s="838">
        <f t="shared" si="1"/>
        <v>0</v>
      </c>
      <c r="M16" s="425"/>
    </row>
    <row r="17" spans="2:13" ht="14.4" customHeight="1" x14ac:dyDescent="0.3">
      <c r="B17" s="468"/>
      <c r="C17" s="471"/>
      <c r="D17" s="472" t="s">
        <v>233</v>
      </c>
      <c r="E17" s="123"/>
      <c r="F17" s="474">
        <v>0</v>
      </c>
      <c r="G17" s="838">
        <f t="shared" si="1"/>
        <v>0</v>
      </c>
      <c r="H17" s="838">
        <f t="shared" si="1"/>
        <v>0</v>
      </c>
      <c r="I17" s="838">
        <f t="shared" si="1"/>
        <v>0</v>
      </c>
      <c r="J17" s="838">
        <f t="shared" si="1"/>
        <v>0</v>
      </c>
      <c r="K17" s="838">
        <f t="shared" si="1"/>
        <v>0</v>
      </c>
      <c r="L17" s="838">
        <f t="shared" si="1"/>
        <v>0</v>
      </c>
      <c r="M17" s="425"/>
    </row>
    <row r="18" spans="2:13" ht="14.4" customHeight="1" x14ac:dyDescent="0.3">
      <c r="B18" s="468"/>
      <c r="C18" s="471"/>
      <c r="D18" s="476"/>
      <c r="E18" s="123"/>
      <c r="F18" s="1011">
        <f t="shared" ref="F18:K18" si="2">SUM(F12:F17)</f>
        <v>0</v>
      </c>
      <c r="G18" s="1011">
        <f t="shared" si="2"/>
        <v>-43750</v>
      </c>
      <c r="H18" s="1011">
        <f t="shared" si="2"/>
        <v>-87500</v>
      </c>
      <c r="I18" s="1011">
        <f t="shared" si="2"/>
        <v>-131250</v>
      </c>
      <c r="J18" s="1011">
        <f t="shared" si="2"/>
        <v>0</v>
      </c>
      <c r="K18" s="1011">
        <f t="shared" si="2"/>
        <v>-43750</v>
      </c>
      <c r="L18" s="1011">
        <f t="shared" ref="L18" si="3">SUM(L12:L17)</f>
        <v>-87500</v>
      </c>
      <c r="M18" s="425"/>
    </row>
    <row r="19" spans="2:13" ht="14.4" customHeight="1" x14ac:dyDescent="0.3">
      <c r="B19" s="468"/>
      <c r="C19" s="477"/>
      <c r="D19" s="478"/>
      <c r="E19" s="448"/>
      <c r="F19" s="448"/>
      <c r="G19" s="448"/>
      <c r="H19" s="448"/>
      <c r="I19" s="448"/>
      <c r="J19" s="448"/>
      <c r="K19" s="448"/>
      <c r="L19" s="448"/>
      <c r="M19" s="425"/>
    </row>
    <row r="20" spans="2:13" ht="14.4" customHeight="1" x14ac:dyDescent="0.3">
      <c r="B20" s="422"/>
      <c r="C20" s="423"/>
      <c r="D20" s="423"/>
      <c r="E20" s="423"/>
      <c r="F20" s="423"/>
      <c r="G20" s="423"/>
      <c r="H20" s="423"/>
      <c r="I20" s="423"/>
      <c r="J20" s="423"/>
      <c r="K20" s="423"/>
      <c r="L20" s="423"/>
      <c r="M20" s="425"/>
    </row>
    <row r="21" spans="2:13" ht="14.4" customHeight="1" x14ac:dyDescent="0.3">
      <c r="B21" s="468"/>
      <c r="C21" s="469"/>
      <c r="D21" s="470"/>
      <c r="E21" s="436"/>
      <c r="F21" s="436"/>
      <c r="G21" s="436"/>
      <c r="H21" s="436"/>
      <c r="I21" s="436"/>
      <c r="J21" s="436"/>
      <c r="K21" s="436"/>
      <c r="L21" s="436"/>
      <c r="M21" s="425"/>
    </row>
    <row r="22" spans="2:13" ht="14.4" customHeight="1" x14ac:dyDescent="0.3">
      <c r="B22" s="468"/>
      <c r="C22" s="471"/>
      <c r="D22" s="882" t="s">
        <v>402</v>
      </c>
      <c r="E22" s="123"/>
      <c r="F22" s="476"/>
      <c r="G22" s="123"/>
      <c r="H22" s="123"/>
      <c r="I22" s="123"/>
      <c r="J22" s="123"/>
      <c r="K22" s="123"/>
      <c r="L22" s="123"/>
      <c r="M22" s="425"/>
    </row>
    <row r="23" spans="2:13" ht="14.4" customHeight="1" x14ac:dyDescent="0.3">
      <c r="B23" s="468"/>
      <c r="C23" s="471"/>
      <c r="D23" s="472" t="s">
        <v>231</v>
      </c>
      <c r="E23" s="123"/>
      <c r="F23" s="846">
        <f>(SUMIF(mip!$D13:$D146,"gebouwen en terreinen",mip!Z13:Z146))</f>
        <v>0</v>
      </c>
      <c r="G23" s="846">
        <f>(SUMIF(mip!$D13:$D146,"gebouwen en terreinen",mip!AA13:AA146))</f>
        <v>0</v>
      </c>
      <c r="H23" s="846">
        <f>(SUMIF(mip!$D13:$D146,"gebouwen en terreinen",mip!AB13:AB146))</f>
        <v>0</v>
      </c>
      <c r="I23" s="846">
        <f>(SUMIF(mip!$D13:$D146,"gebouwen en terreinen",mip!AC13:AC146))</f>
        <v>0</v>
      </c>
      <c r="J23" s="846">
        <f>(SUMIF(mip!$D13:$D146,"gebouwen en terreinen",mip!AD13:AD146))</f>
        <v>0</v>
      </c>
      <c r="K23" s="846">
        <f>(SUMIF(mip!$D13:$D146,"gebouwen en terreinen",mip!AE13:AE146))</f>
        <v>0</v>
      </c>
      <c r="L23" s="846">
        <f>(SUMIF(mip!$D13:$D146,"gebouwen en terreinen",mip!AG13:AG146))</f>
        <v>0</v>
      </c>
      <c r="M23" s="425"/>
    </row>
    <row r="24" spans="2:13" ht="14.4" customHeight="1" x14ac:dyDescent="0.3">
      <c r="B24" s="468"/>
      <c r="C24" s="471"/>
      <c r="D24" s="472" t="s">
        <v>232</v>
      </c>
      <c r="E24" s="123"/>
      <c r="F24" s="846">
        <f>(SUMIF(mip!$D13:$D146,"inventaris en apparatuur",mip!Z13:Z146))</f>
        <v>0</v>
      </c>
      <c r="G24" s="846">
        <f>(SUMIF(mip!$D13:$D146,"inventaris en apparatuur",mip!AA13:AA146))</f>
        <v>0</v>
      </c>
      <c r="H24" s="846">
        <f>(SUMIF(mip!$D13:$D146,"inventaris en apparatuur",mip!AB13:AB146))</f>
        <v>0</v>
      </c>
      <c r="I24" s="846">
        <f>(SUMIF(mip!$D13:$D146,"inventaris en apparatuur",mip!AC13:AC146))</f>
        <v>0</v>
      </c>
      <c r="J24" s="846">
        <f>(SUMIF(mip!$D13:$D146,"inventaris en apparatuur",mip!AD13:AD146))</f>
        <v>0</v>
      </c>
      <c r="K24" s="846">
        <f>(SUMIF(mip!$D13:$D146,"inventaris en apparatuur",mip!AE13:AE146))</f>
        <v>0</v>
      </c>
      <c r="L24" s="846">
        <f>(SUMIF(mip!$D13:$D146,"inventaris en apparatuur",mip!AG13:AG146))</f>
        <v>0</v>
      </c>
      <c r="M24" s="425"/>
    </row>
    <row r="25" spans="2:13" ht="14.4" customHeight="1" x14ac:dyDescent="0.3">
      <c r="B25" s="468"/>
      <c r="C25" s="471"/>
      <c r="D25" s="475" t="s">
        <v>46</v>
      </c>
      <c r="E25" s="123"/>
      <c r="F25" s="846">
        <f>(SUMIF(mip!$D13:$D146,"meubilair",mip!Z13:Z146))</f>
        <v>0</v>
      </c>
      <c r="G25" s="846">
        <f>(SUMIF(mip!$D13:$D146,"meubilair",mip!AA13:AA146))</f>
        <v>0</v>
      </c>
      <c r="H25" s="846">
        <f>(SUMIF(mip!$D13:$D146,"meubilair",mip!AB13:AB146))</f>
        <v>0</v>
      </c>
      <c r="I25" s="846">
        <f>(SUMIF(mip!$D13:$D146,"meubilair",mip!AC13:AC146))</f>
        <v>0</v>
      </c>
      <c r="J25" s="846">
        <f>(SUMIF(mip!$D13:$D146,"meubilair",mip!AD13:AD146))</f>
        <v>0</v>
      </c>
      <c r="K25" s="846">
        <f>(SUMIF(mip!$D13:$D146,"meubilair",mip!AE13:AE146))</f>
        <v>0</v>
      </c>
      <c r="L25" s="846">
        <f>(SUMIF(mip!$D13:$D146,"meubilair",mip!AG13:AG146))</f>
        <v>0</v>
      </c>
      <c r="M25" s="425"/>
    </row>
    <row r="26" spans="2:13" ht="14.4" customHeight="1" x14ac:dyDescent="0.3">
      <c r="B26" s="468"/>
      <c r="C26" s="471"/>
      <c r="D26" s="475" t="s">
        <v>47</v>
      </c>
      <c r="E26" s="123"/>
      <c r="F26" s="846">
        <f>(SUMIF(mip!$D13:$D146,"ICT",mip!Z13:Z146))</f>
        <v>0</v>
      </c>
      <c r="G26" s="846">
        <f>(SUMIF(mip!$D13:$D146,"ICT",mip!AA13:AA146))</f>
        <v>0</v>
      </c>
      <c r="H26" s="846">
        <f>(SUMIF(mip!$D13:$D146,"ICT",mip!AB13:AB146))</f>
        <v>0</v>
      </c>
      <c r="I26" s="846">
        <f>(SUMIF(mip!$D13:$D146,"ICT",mip!AC13:AC146))</f>
        <v>218750</v>
      </c>
      <c r="J26" s="846">
        <f>(SUMIF(mip!$D13:$D146,"ICT",mip!AD13:AD146))</f>
        <v>0</v>
      </c>
      <c r="K26" s="846">
        <f>(SUMIF(mip!$D13:$D146,"ICT",mip!AE13:AE146))</f>
        <v>0</v>
      </c>
      <c r="L26" s="846">
        <f>(SUMIF(mip!$D13:$D146,"ICT",mip!AG13:AG146))</f>
        <v>0</v>
      </c>
      <c r="M26" s="425"/>
    </row>
    <row r="27" spans="2:13" ht="14.4" customHeight="1" x14ac:dyDescent="0.3">
      <c r="B27" s="468"/>
      <c r="C27" s="471"/>
      <c r="D27" s="472" t="s">
        <v>262</v>
      </c>
      <c r="E27" s="123"/>
      <c r="F27" s="846">
        <f>(SUMIF(mip!$D13:$D146,"Leermiddelen PO",mip!Z13:Z146))</f>
        <v>0</v>
      </c>
      <c r="G27" s="846">
        <f>(SUMIF(mip!$D13:$D146,"Leermiddelen PO",mip!AA13:AA146))</f>
        <v>0</v>
      </c>
      <c r="H27" s="846">
        <f>(SUMIF(mip!$D13:$D146,"Leermiddelen PO",mip!AB13:AB146))</f>
        <v>0</v>
      </c>
      <c r="I27" s="846">
        <f>(SUMIF(mip!$D13:$D146,"Leermiddelen PO",mip!AC13:AC146))</f>
        <v>0</v>
      </c>
      <c r="J27" s="846">
        <f>(SUMIF(mip!$D13:$D146,"Leermiddelen PO",mip!AD13:AD146))</f>
        <v>0</v>
      </c>
      <c r="K27" s="846">
        <f>(SUMIF(mip!$D13:$D146,"Leermiddelen PO",mip!AE13:AE146))</f>
        <v>0</v>
      </c>
      <c r="L27" s="846">
        <f>(SUMIF(mip!$D13:$D146,"Leermiddelen PO",mip!AG13:AG146))</f>
        <v>0</v>
      </c>
      <c r="M27" s="425"/>
    </row>
    <row r="28" spans="2:13" ht="14.4" customHeight="1" x14ac:dyDescent="0.3">
      <c r="B28" s="468"/>
      <c r="C28" s="471"/>
      <c r="D28" s="472" t="s">
        <v>233</v>
      </c>
      <c r="E28" s="123"/>
      <c r="F28" s="846">
        <f>(SUMIF(mip!$D13:$D146,"overige materiële vaste activa",mip!Z13:Z146))</f>
        <v>0</v>
      </c>
      <c r="G28" s="846">
        <f>(SUMIF(mip!$D13:$D146,"overige materiële vaste activa",mip!AA13:AA146))</f>
        <v>0</v>
      </c>
      <c r="H28" s="846">
        <f>(SUMIF(mip!$D13:$D146,"overige materiële vaste activa",mip!AB13:AB146))</f>
        <v>0</v>
      </c>
      <c r="I28" s="846">
        <f>(SUMIF(mip!$D13:$D146,"overige materiële vaste activa",mip!AC13:AC146))</f>
        <v>0</v>
      </c>
      <c r="J28" s="846">
        <f>(SUMIF(mip!$D13:$D146,"overige materiële vaste activa",mip!AD13:AD146))</f>
        <v>0</v>
      </c>
      <c r="K28" s="846">
        <f>(SUMIF(mip!$D13:$D146,"overige materiële vaste activa",mip!AE13:AE146))</f>
        <v>0</v>
      </c>
      <c r="L28" s="846">
        <f>(SUMIF(mip!$D13:$D146,"overige materiële vaste activa",mip!AG13:AG146))</f>
        <v>0</v>
      </c>
      <c r="M28" s="425"/>
    </row>
    <row r="29" spans="2:13" ht="14.4" customHeight="1" x14ac:dyDescent="0.3">
      <c r="B29" s="468"/>
      <c r="C29" s="471"/>
      <c r="D29" s="476"/>
      <c r="E29" s="123"/>
      <c r="F29" s="1011">
        <f t="shared" ref="F29:K29" si="4">SUM(F23:F28)</f>
        <v>0</v>
      </c>
      <c r="G29" s="1011">
        <f t="shared" si="4"/>
        <v>0</v>
      </c>
      <c r="H29" s="1011">
        <f t="shared" si="4"/>
        <v>0</v>
      </c>
      <c r="I29" s="1011">
        <f t="shared" si="4"/>
        <v>218750</v>
      </c>
      <c r="J29" s="1011">
        <f t="shared" si="4"/>
        <v>0</v>
      </c>
      <c r="K29" s="1011">
        <f t="shared" si="4"/>
        <v>0</v>
      </c>
      <c r="L29" s="1011">
        <f t="shared" ref="L29" si="5">SUM(L23:L28)</f>
        <v>0</v>
      </c>
      <c r="M29" s="425"/>
    </row>
    <row r="30" spans="2:13" ht="14.4" customHeight="1" x14ac:dyDescent="0.3">
      <c r="B30" s="468"/>
      <c r="C30" s="477"/>
      <c r="D30" s="478"/>
      <c r="E30" s="448"/>
      <c r="F30" s="448"/>
      <c r="G30" s="448"/>
      <c r="H30" s="448"/>
      <c r="I30" s="448"/>
      <c r="J30" s="448"/>
      <c r="K30" s="448"/>
      <c r="L30" s="448"/>
      <c r="M30" s="425"/>
    </row>
    <row r="31" spans="2:13" ht="14.4" customHeight="1" x14ac:dyDescent="0.3">
      <c r="B31" s="422"/>
      <c r="C31" s="423"/>
      <c r="D31" s="423"/>
      <c r="E31" s="423"/>
      <c r="F31" s="423"/>
      <c r="G31" s="423"/>
      <c r="H31" s="423"/>
      <c r="I31" s="423"/>
      <c r="J31" s="423"/>
      <c r="K31" s="423"/>
      <c r="L31" s="423"/>
      <c r="M31" s="425"/>
    </row>
    <row r="32" spans="2:13" ht="14.4" customHeight="1" x14ac:dyDescent="0.3">
      <c r="B32" s="422"/>
      <c r="C32" s="435"/>
      <c r="D32" s="479"/>
      <c r="E32" s="436"/>
      <c r="F32" s="436"/>
      <c r="G32" s="436"/>
      <c r="H32" s="480"/>
      <c r="I32" s="436"/>
      <c r="J32" s="436"/>
      <c r="K32" s="436"/>
      <c r="L32" s="436"/>
      <c r="M32" s="425"/>
    </row>
    <row r="33" spans="2:13" ht="14.4" customHeight="1" x14ac:dyDescent="0.3">
      <c r="B33" s="468"/>
      <c r="C33" s="471"/>
      <c r="D33" s="882" t="s">
        <v>244</v>
      </c>
      <c r="E33" s="123"/>
      <c r="F33" s="123"/>
      <c r="G33" s="123"/>
      <c r="H33" s="123"/>
      <c r="I33" s="123"/>
      <c r="J33" s="123"/>
      <c r="K33" s="123"/>
      <c r="L33" s="123"/>
      <c r="M33" s="425"/>
    </row>
    <row r="34" spans="2:13" ht="14.4" customHeight="1" x14ac:dyDescent="0.3">
      <c r="B34" s="468"/>
      <c r="C34" s="471"/>
      <c r="D34" s="472" t="s">
        <v>231</v>
      </c>
      <c r="E34" s="123"/>
      <c r="F34" s="846">
        <f>(SUMIF(mip!$D13:$D146,"gebouwen en terreinen",mip!R13:R146))</f>
        <v>0</v>
      </c>
      <c r="G34" s="846">
        <f>(SUMIF(mip!$D13:$D146,"gebouwen en terreinen",mip!S13:S146))</f>
        <v>0</v>
      </c>
      <c r="H34" s="846">
        <f>(SUMIF(mip!$D13:$D146,"gebouwen en terreinen",mip!T13:T146))</f>
        <v>0</v>
      </c>
      <c r="I34" s="846">
        <f>(SUMIF(mip!$D13:$D146,"gebouwen en terreinen",mip!U13:U146))</f>
        <v>0</v>
      </c>
      <c r="J34" s="846">
        <f>(SUMIF(mip!$D13:$D146,"gebouwen en terreinen",mip!V13:V146))</f>
        <v>0</v>
      </c>
      <c r="K34" s="846">
        <f>(SUMIF(mip!$D13:$D146,"gebouwen en terreinen",mip!W13:W146))</f>
        <v>0</v>
      </c>
      <c r="L34" s="846">
        <f>(SUMIF(mip!$D13:$D146,"gebouwen en terreinen",mip!X13:X146))</f>
        <v>0</v>
      </c>
      <c r="M34" s="425"/>
    </row>
    <row r="35" spans="2:13" ht="14.4" customHeight="1" x14ac:dyDescent="0.3">
      <c r="B35" s="468"/>
      <c r="C35" s="471"/>
      <c r="D35" s="472" t="s">
        <v>232</v>
      </c>
      <c r="E35" s="123"/>
      <c r="F35" s="841">
        <f>(SUMIF(mip!$D13:$D146,"inventaris en apparatuur",mip!R13:R146))</f>
        <v>0</v>
      </c>
      <c r="G35" s="841">
        <f>(SUMIF(mip!$D13:$D146,"inventaris en apparatuur",mip!S13:S146))</f>
        <v>0</v>
      </c>
      <c r="H35" s="841">
        <f>(SUMIF(mip!$D13:$D146,"inventaris en apparatuur",mip!T13:T146))</f>
        <v>0</v>
      </c>
      <c r="I35" s="841">
        <f>(SUMIF(mip!$D13:$D146,"inventaris en apparatuur",mip!U13:U146))</f>
        <v>0</v>
      </c>
      <c r="J35" s="841">
        <f>(SUMIF(mip!$D13:$D146,"inventaris en apparatuur",mip!V13:V146))</f>
        <v>0</v>
      </c>
      <c r="K35" s="841">
        <f>(SUMIF(mip!$D13:$D146,"inventaris en apparatuur",mip!W13:W146))</f>
        <v>0</v>
      </c>
      <c r="L35" s="841">
        <f>(SUMIF(mip!$D13:$D146,"inventaris en apparatuur",mip!X13:X146))</f>
        <v>0</v>
      </c>
      <c r="M35" s="425"/>
    </row>
    <row r="36" spans="2:13" ht="14.4" customHeight="1" x14ac:dyDescent="0.3">
      <c r="B36" s="468"/>
      <c r="C36" s="471"/>
      <c r="D36" s="475" t="s">
        <v>46</v>
      </c>
      <c r="E36" s="123"/>
      <c r="F36" s="841">
        <f>(SUMIF(mip!$D13:$D146,"meubilair",mip!R13:R146))</f>
        <v>0</v>
      </c>
      <c r="G36" s="841">
        <f>(SUMIF(mip!$D13:$D146,"meubilair",mip!S13:S146))</f>
        <v>0</v>
      </c>
      <c r="H36" s="841">
        <f>(SUMIF(mip!$D13:$D146,"meubilair",mip!T13:T146))</f>
        <v>0</v>
      </c>
      <c r="I36" s="841">
        <f>(SUMIF(mip!$D13:$D146,"meubilair",mip!U13:U146))</f>
        <v>0</v>
      </c>
      <c r="J36" s="841">
        <f>(SUMIF(mip!$D13:$D146,"meubilair",mip!V13:V146))</f>
        <v>0</v>
      </c>
      <c r="K36" s="841">
        <f>(SUMIF(mip!$D13:$D146,"meubilair",mip!W13:W146))</f>
        <v>0</v>
      </c>
      <c r="L36" s="841">
        <f>(SUMIF(mip!$D13:$D146,"meubilair",mip!X13:X146))</f>
        <v>0</v>
      </c>
      <c r="M36" s="425"/>
    </row>
    <row r="37" spans="2:13" ht="14.4" customHeight="1" x14ac:dyDescent="0.3">
      <c r="B37" s="468"/>
      <c r="C37" s="471"/>
      <c r="D37" s="475" t="s">
        <v>47</v>
      </c>
      <c r="E37" s="123"/>
      <c r="F37" s="841">
        <f>(SUMIF(mip!$D13:$D146,"ICT",mip!R13:R146))</f>
        <v>43750</v>
      </c>
      <c r="G37" s="841">
        <f>(SUMIF(mip!$D13:$D146,"ICT",mip!S13:S146))</f>
        <v>43750</v>
      </c>
      <c r="H37" s="841">
        <f>(SUMIF(mip!$D13:$D146,"ICT",mip!T13:T146))</f>
        <v>43750</v>
      </c>
      <c r="I37" s="841">
        <f>(SUMIF(mip!$D13:$D146,"ICT",mip!U13:U146))</f>
        <v>87500</v>
      </c>
      <c r="J37" s="841">
        <f>(SUMIF(mip!$D13:$D146,"ICT",mip!V13:V146))</f>
        <v>43750</v>
      </c>
      <c r="K37" s="841">
        <f>(SUMIF(mip!$D13:$D146,"ICT",mip!W13:W146))</f>
        <v>43750</v>
      </c>
      <c r="L37" s="841">
        <f>(SUMIF(mip!$D13:$D146,"ICT",mip!X13:X146))</f>
        <v>43750</v>
      </c>
      <c r="M37" s="425"/>
    </row>
    <row r="38" spans="2:13" ht="14.4" customHeight="1" x14ac:dyDescent="0.3">
      <c r="B38" s="468"/>
      <c r="C38" s="471"/>
      <c r="D38" s="472" t="s">
        <v>262</v>
      </c>
      <c r="E38" s="123"/>
      <c r="F38" s="841">
        <f>(SUMIF(mip!$D13:$D146,"Leermiddelen PO",mip!R13:R146))</f>
        <v>0</v>
      </c>
      <c r="G38" s="841">
        <f>(SUMIF(mip!$D13:$D146,"Leermiddelen PO",mip!S13:S146))</f>
        <v>0</v>
      </c>
      <c r="H38" s="841">
        <f>(SUMIF(mip!$D13:$D146,"Leermiddelen PO",mip!T13:T146))</f>
        <v>0</v>
      </c>
      <c r="I38" s="841">
        <f>(SUMIF(mip!$D13:$D146,"Leermiddelen PO",mip!U13:U146))</f>
        <v>0</v>
      </c>
      <c r="J38" s="841">
        <f>(SUMIF(mip!$D13:$D146,"Leermiddelen PO",mip!V13:V146))</f>
        <v>0</v>
      </c>
      <c r="K38" s="841">
        <f>(SUMIF(mip!$D13:$D146,"Leermiddelen PO",mip!W13:W146))</f>
        <v>0</v>
      </c>
      <c r="L38" s="841">
        <f>(SUMIF(mip!$D13:$D146,"Leermiddelen PO",mip!X13:X146))</f>
        <v>0</v>
      </c>
      <c r="M38" s="425"/>
    </row>
    <row r="39" spans="2:13" ht="14.4" customHeight="1" x14ac:dyDescent="0.3">
      <c r="B39" s="468"/>
      <c r="C39" s="471"/>
      <c r="D39" s="472" t="s">
        <v>233</v>
      </c>
      <c r="E39" s="123"/>
      <c r="F39" s="841">
        <f>(SUMIF(mip!$D13:$D146,"overige materiële vaste activa",mip!R13:R146))</f>
        <v>0</v>
      </c>
      <c r="G39" s="841">
        <f>(SUMIF(mip!$D13:$D146,"overige materiële vaste activa",mip!S13:S146))</f>
        <v>0</v>
      </c>
      <c r="H39" s="841">
        <f>(SUMIF(mip!$D13:$D146,"overige materiële vaste activa",mip!T13:T146))</f>
        <v>0</v>
      </c>
      <c r="I39" s="841">
        <f>(SUMIF(mip!$D13:$D146,"overige materiële vaste activa",mip!U13:U146))</f>
        <v>0</v>
      </c>
      <c r="J39" s="841">
        <f>(SUMIF(mip!$D13:$D146,"overige materiële vaste activa",mip!V13:V146))</f>
        <v>0</v>
      </c>
      <c r="K39" s="841">
        <f>(SUMIF(mip!$D13:$D146,"overige materiële vaste activa",mip!W13:W146))</f>
        <v>0</v>
      </c>
      <c r="L39" s="841">
        <f>(SUMIF(mip!$D13:$D146,"overige materiële vaste activa",mip!X13:X146))</f>
        <v>0</v>
      </c>
      <c r="M39" s="425"/>
    </row>
    <row r="40" spans="2:13" ht="14.4" customHeight="1" x14ac:dyDescent="0.3">
      <c r="B40" s="431"/>
      <c r="C40" s="481"/>
      <c r="D40" s="207"/>
      <c r="E40" s="482"/>
      <c r="F40" s="1010">
        <f t="shared" ref="F40:K40" si="6">SUM(F34:F39)</f>
        <v>43750</v>
      </c>
      <c r="G40" s="1010">
        <f t="shared" si="6"/>
        <v>43750</v>
      </c>
      <c r="H40" s="1010">
        <f t="shared" si="6"/>
        <v>43750</v>
      </c>
      <c r="I40" s="1010">
        <f t="shared" si="6"/>
        <v>87500</v>
      </c>
      <c r="J40" s="1010">
        <f t="shared" si="6"/>
        <v>43750</v>
      </c>
      <c r="K40" s="1010">
        <f t="shared" si="6"/>
        <v>43750</v>
      </c>
      <c r="L40" s="1010">
        <f t="shared" ref="L40" si="7">SUM(L34:L39)</f>
        <v>43750</v>
      </c>
      <c r="M40" s="483"/>
    </row>
    <row r="41" spans="2:13" ht="14.4" customHeight="1" x14ac:dyDescent="0.3">
      <c r="B41" s="422"/>
      <c r="C41" s="122"/>
      <c r="D41" s="123"/>
      <c r="E41" s="123"/>
      <c r="F41" s="123"/>
      <c r="G41" s="123"/>
      <c r="H41" s="484"/>
      <c r="I41" s="123"/>
      <c r="J41" s="123"/>
      <c r="K41" s="123"/>
      <c r="L41" s="123"/>
      <c r="M41" s="425"/>
    </row>
    <row r="42" spans="2:13" s="409" customFormat="1" ht="14.4" customHeight="1" x14ac:dyDescent="0.3">
      <c r="B42" s="485"/>
      <c r="C42" s="486"/>
      <c r="D42" s="487" t="s">
        <v>179</v>
      </c>
      <c r="E42" s="487"/>
      <c r="F42" s="1009">
        <f>F40</f>
        <v>43750</v>
      </c>
      <c r="G42" s="1009">
        <f t="shared" ref="G42:K42" si="8">G40</f>
        <v>43750</v>
      </c>
      <c r="H42" s="1009">
        <f t="shared" si="8"/>
        <v>43750</v>
      </c>
      <c r="I42" s="1009">
        <f t="shared" si="8"/>
        <v>87500</v>
      </c>
      <c r="J42" s="1009">
        <f t="shared" si="8"/>
        <v>43750</v>
      </c>
      <c r="K42" s="1009">
        <f t="shared" si="8"/>
        <v>43750</v>
      </c>
      <c r="L42" s="1009">
        <f t="shared" ref="L42" si="9">L40</f>
        <v>43750</v>
      </c>
      <c r="M42" s="488"/>
    </row>
    <row r="43" spans="2:13" ht="14.4" customHeight="1" x14ac:dyDescent="0.3">
      <c r="B43" s="422"/>
      <c r="C43" s="447"/>
      <c r="D43" s="448"/>
      <c r="E43" s="448"/>
      <c r="F43" s="448"/>
      <c r="G43" s="448"/>
      <c r="H43" s="449"/>
      <c r="I43" s="448"/>
      <c r="J43" s="448"/>
      <c r="K43" s="448"/>
      <c r="L43" s="448"/>
      <c r="M43" s="425"/>
    </row>
    <row r="44" spans="2:13" ht="14.4" customHeight="1" x14ac:dyDescent="0.3">
      <c r="B44" s="422"/>
      <c r="C44" s="423"/>
      <c r="D44" s="423"/>
      <c r="E44" s="423"/>
      <c r="F44" s="423"/>
      <c r="G44" s="423"/>
      <c r="H44" s="423"/>
      <c r="I44" s="423"/>
      <c r="J44" s="423"/>
      <c r="K44" s="423"/>
      <c r="L44" s="423"/>
      <c r="M44" s="425"/>
    </row>
    <row r="45" spans="2:13" ht="14.4" customHeight="1" x14ac:dyDescent="0.3">
      <c r="B45" s="468"/>
      <c r="C45" s="469"/>
      <c r="D45" s="470"/>
      <c r="E45" s="436"/>
      <c r="F45" s="436"/>
      <c r="G45" s="436"/>
      <c r="H45" s="436"/>
      <c r="I45" s="436"/>
      <c r="J45" s="436"/>
      <c r="K45" s="436"/>
      <c r="L45" s="436"/>
      <c r="M45" s="425"/>
    </row>
    <row r="46" spans="2:13" ht="14.4" customHeight="1" x14ac:dyDescent="0.3">
      <c r="B46" s="468"/>
      <c r="C46" s="471"/>
      <c r="D46" s="882" t="s">
        <v>265</v>
      </c>
      <c r="E46" s="123"/>
      <c r="F46" s="123"/>
      <c r="G46" s="123"/>
      <c r="H46" s="123"/>
      <c r="I46" s="123"/>
      <c r="J46" s="123"/>
      <c r="K46" s="123"/>
      <c r="L46" s="123"/>
      <c r="M46" s="425"/>
    </row>
    <row r="47" spans="2:13" ht="14.4" customHeight="1" x14ac:dyDescent="0.3">
      <c r="B47" s="468"/>
      <c r="C47" s="471"/>
      <c r="D47" s="472" t="s">
        <v>231</v>
      </c>
      <c r="E47" s="123"/>
      <c r="F47" s="838">
        <f t="shared" ref="F47:F52" si="10">F12+F23-F34</f>
        <v>0</v>
      </c>
      <c r="G47" s="838">
        <f t="shared" ref="G47:K47" si="11">G12+G23-G34</f>
        <v>0</v>
      </c>
      <c r="H47" s="838">
        <f t="shared" si="11"/>
        <v>0</v>
      </c>
      <c r="I47" s="838">
        <f t="shared" si="11"/>
        <v>0</v>
      </c>
      <c r="J47" s="838">
        <f t="shared" si="11"/>
        <v>0</v>
      </c>
      <c r="K47" s="838">
        <f t="shared" si="11"/>
        <v>0</v>
      </c>
      <c r="L47" s="838">
        <f t="shared" ref="L47" si="12">L12+L23-L34</f>
        <v>0</v>
      </c>
      <c r="M47" s="425"/>
    </row>
    <row r="48" spans="2:13" ht="14.4" customHeight="1" x14ac:dyDescent="0.3">
      <c r="B48" s="468"/>
      <c r="C48" s="471"/>
      <c r="D48" s="472" t="s">
        <v>232</v>
      </c>
      <c r="E48" s="123"/>
      <c r="F48" s="838">
        <f t="shared" si="10"/>
        <v>0</v>
      </c>
      <c r="G48" s="838">
        <f t="shared" ref="G48:K48" si="13">G13+G24-G35</f>
        <v>0</v>
      </c>
      <c r="H48" s="838">
        <f t="shared" si="13"/>
        <v>0</v>
      </c>
      <c r="I48" s="838">
        <f t="shared" si="13"/>
        <v>0</v>
      </c>
      <c r="J48" s="838">
        <f t="shared" si="13"/>
        <v>0</v>
      </c>
      <c r="K48" s="838">
        <f t="shared" si="13"/>
        <v>0</v>
      </c>
      <c r="L48" s="838">
        <f t="shared" ref="L48" si="14">L13+L24-L35</f>
        <v>0</v>
      </c>
      <c r="M48" s="425"/>
    </row>
    <row r="49" spans="2:13" ht="14.4" customHeight="1" x14ac:dyDescent="0.3">
      <c r="B49" s="468"/>
      <c r="C49" s="471"/>
      <c r="D49" s="475" t="s">
        <v>46</v>
      </c>
      <c r="E49" s="123"/>
      <c r="F49" s="838">
        <f t="shared" si="10"/>
        <v>0</v>
      </c>
      <c r="G49" s="838">
        <f t="shared" ref="G49:K49" si="15">G14+G25-G36</f>
        <v>0</v>
      </c>
      <c r="H49" s="838">
        <f t="shared" si="15"/>
        <v>0</v>
      </c>
      <c r="I49" s="838">
        <f t="shared" si="15"/>
        <v>0</v>
      </c>
      <c r="J49" s="838">
        <f t="shared" si="15"/>
        <v>0</v>
      </c>
      <c r="K49" s="838">
        <f t="shared" si="15"/>
        <v>0</v>
      </c>
      <c r="L49" s="838">
        <f t="shared" ref="L49" si="16">L14+L25-L36</f>
        <v>0</v>
      </c>
      <c r="M49" s="425"/>
    </row>
    <row r="50" spans="2:13" ht="14.4" customHeight="1" x14ac:dyDescent="0.3">
      <c r="B50" s="468"/>
      <c r="C50" s="471"/>
      <c r="D50" s="475" t="s">
        <v>47</v>
      </c>
      <c r="E50" s="123"/>
      <c r="F50" s="838">
        <f t="shared" si="10"/>
        <v>-43750</v>
      </c>
      <c r="G50" s="838">
        <f t="shared" ref="G50:K50" si="17">G15+G26-G37</f>
        <v>-87500</v>
      </c>
      <c r="H50" s="838">
        <f t="shared" si="17"/>
        <v>-131250</v>
      </c>
      <c r="I50" s="838">
        <f t="shared" si="17"/>
        <v>0</v>
      </c>
      <c r="J50" s="838">
        <f t="shared" si="17"/>
        <v>-43750</v>
      </c>
      <c r="K50" s="838">
        <f t="shared" si="17"/>
        <v>-87500</v>
      </c>
      <c r="L50" s="838">
        <f t="shared" ref="L50" si="18">L15+L26-L37</f>
        <v>-131250</v>
      </c>
      <c r="M50" s="425"/>
    </row>
    <row r="51" spans="2:13" ht="14.4" customHeight="1" x14ac:dyDescent="0.3">
      <c r="B51" s="468"/>
      <c r="C51" s="471"/>
      <c r="D51" s="472" t="s">
        <v>262</v>
      </c>
      <c r="E51" s="123"/>
      <c r="F51" s="838">
        <f t="shared" si="10"/>
        <v>0</v>
      </c>
      <c r="G51" s="838">
        <f t="shared" ref="G51:K51" si="19">G16+G27-G38</f>
        <v>0</v>
      </c>
      <c r="H51" s="838">
        <f t="shared" si="19"/>
        <v>0</v>
      </c>
      <c r="I51" s="838">
        <f t="shared" si="19"/>
        <v>0</v>
      </c>
      <c r="J51" s="838">
        <f t="shared" si="19"/>
        <v>0</v>
      </c>
      <c r="K51" s="838">
        <f t="shared" si="19"/>
        <v>0</v>
      </c>
      <c r="L51" s="838">
        <f t="shared" ref="L51" si="20">L16+L27-L38</f>
        <v>0</v>
      </c>
      <c r="M51" s="425"/>
    </row>
    <row r="52" spans="2:13" ht="14.4" customHeight="1" x14ac:dyDescent="0.3">
      <c r="B52" s="468"/>
      <c r="C52" s="471"/>
      <c r="D52" s="472" t="s">
        <v>233</v>
      </c>
      <c r="E52" s="123"/>
      <c r="F52" s="838">
        <f t="shared" si="10"/>
        <v>0</v>
      </c>
      <c r="G52" s="838">
        <f t="shared" ref="G52:K52" si="21">G17+G28-G39</f>
        <v>0</v>
      </c>
      <c r="H52" s="838">
        <f t="shared" si="21"/>
        <v>0</v>
      </c>
      <c r="I52" s="838">
        <f t="shared" si="21"/>
        <v>0</v>
      </c>
      <c r="J52" s="838">
        <f t="shared" si="21"/>
        <v>0</v>
      </c>
      <c r="K52" s="838">
        <f t="shared" si="21"/>
        <v>0</v>
      </c>
      <c r="L52" s="838">
        <f t="shared" ref="L52" si="22">L17+L28-L39</f>
        <v>0</v>
      </c>
      <c r="M52" s="425"/>
    </row>
    <row r="53" spans="2:13" ht="14.4" customHeight="1" x14ac:dyDescent="0.3">
      <c r="B53" s="489"/>
      <c r="C53" s="490"/>
      <c r="D53" s="476"/>
      <c r="E53" s="487"/>
      <c r="F53" s="1009">
        <f t="shared" ref="F53:K53" si="23">SUM(F47:F52)</f>
        <v>-43750</v>
      </c>
      <c r="G53" s="1009">
        <f t="shared" si="23"/>
        <v>-87500</v>
      </c>
      <c r="H53" s="1009">
        <f t="shared" si="23"/>
        <v>-131250</v>
      </c>
      <c r="I53" s="1009">
        <f t="shared" si="23"/>
        <v>0</v>
      </c>
      <c r="J53" s="1009">
        <f t="shared" si="23"/>
        <v>-43750</v>
      </c>
      <c r="K53" s="1009">
        <f t="shared" si="23"/>
        <v>-87500</v>
      </c>
      <c r="L53" s="1009">
        <f t="shared" ref="L53" si="24">SUM(L47:L52)</f>
        <v>-131250</v>
      </c>
      <c r="M53" s="488"/>
    </row>
    <row r="54" spans="2:13" ht="14.4" customHeight="1" x14ac:dyDescent="0.3">
      <c r="B54" s="422"/>
      <c r="C54" s="447"/>
      <c r="D54" s="448"/>
      <c r="E54" s="448"/>
      <c r="F54" s="448"/>
      <c r="G54" s="448"/>
      <c r="H54" s="448"/>
      <c r="I54" s="448"/>
      <c r="J54" s="448"/>
      <c r="K54" s="448"/>
      <c r="L54" s="448"/>
      <c r="M54" s="425"/>
    </row>
    <row r="55" spans="2:13" ht="14.4" customHeight="1" x14ac:dyDescent="0.3">
      <c r="B55" s="422"/>
      <c r="C55" s="423"/>
      <c r="D55" s="423"/>
      <c r="E55" s="423"/>
      <c r="F55" s="423"/>
      <c r="G55" s="423"/>
      <c r="H55" s="423"/>
      <c r="I55" s="423"/>
      <c r="J55" s="423"/>
      <c r="K55" s="423"/>
      <c r="L55" s="423"/>
      <c r="M55" s="425"/>
    </row>
    <row r="56" spans="2:13" ht="14.4" customHeight="1" x14ac:dyDescent="0.3">
      <c r="B56" s="452"/>
      <c r="C56" s="453"/>
      <c r="D56" s="453"/>
      <c r="E56" s="453"/>
      <c r="F56" s="453"/>
      <c r="G56" s="453"/>
      <c r="H56" s="453"/>
      <c r="I56" s="453"/>
      <c r="J56" s="453"/>
      <c r="K56" s="453"/>
      <c r="L56" s="453"/>
      <c r="M56" s="454"/>
    </row>
  </sheetData>
  <sheetProtection algorithmName="SHA-512" hashValue="ShdNfEF/nE854et9bC0p4XP3gqxEKGjMbziUHptKU4oe+orqgKMlNxM11tEvBS1g+1z1HQsRvyuNVh78E+TXTQ==" saltValue="bRyQGOxoJOKzQ4/yUTEkaA==" spinCount="100000" sheet="1" objects="1" scenarios="1"/>
  <phoneticPr fontId="0" type="noConversion"/>
  <pageMargins left="0.78740157480314965" right="0.78740157480314965" top="0.98425196850393704" bottom="0.98425196850393704" header="0.51181102362204722" footer="0.51181102362204722"/>
  <pageSetup paperSize="9" scale="59" orientation="portrait" r:id="rId1"/>
  <headerFooter alignWithMargins="0">
    <oddHeader>&amp;L&amp;"Arial,Vet"&amp;F&amp;R&amp;"Arial,Vet"&amp;A</oddHeader>
    <oddFooter>&amp;L&amp;"Arial,Vet"goedhart / keizer&amp;C&amp;"Arial,Vet"&amp;D&amp;R&amp;"Arial,Vet"pagina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122"/>
  <sheetViews>
    <sheetView zoomScale="85" zoomScaleNormal="85" workbookViewId="0">
      <selection activeCell="B2" sqref="B2"/>
    </sheetView>
  </sheetViews>
  <sheetFormatPr defaultColWidth="9.109375" defaultRowHeight="13.8" x14ac:dyDescent="0.3"/>
  <cols>
    <col min="1" max="1" width="3.6640625" style="410" customWidth="1"/>
    <col min="2" max="3" width="2.6640625" style="410" customWidth="1"/>
    <col min="4" max="4" width="36.33203125" style="410" customWidth="1"/>
    <col min="5" max="5" width="0.88671875" style="410" customWidth="1"/>
    <col min="6" max="6" width="35.88671875" style="410" customWidth="1"/>
    <col min="7" max="7" width="0.88671875" style="410" customWidth="1"/>
    <col min="8" max="8" width="30.88671875" style="410" customWidth="1"/>
    <col min="9" max="11" width="8.6640625" style="410" customWidth="1"/>
    <col min="12" max="12" width="10.6640625" style="709" customWidth="1"/>
    <col min="13" max="13" width="0.88671875" style="410" customWidth="1"/>
    <col min="14" max="14" width="31.5546875" style="410" customWidth="1"/>
    <col min="15" max="15" width="10.6640625" style="802" customWidth="1"/>
    <col min="16" max="16" width="0.88671875" style="410" customWidth="1"/>
    <col min="17" max="17" width="30.109375" style="410" customWidth="1"/>
    <col min="18" max="18" width="10.6640625" style="410" customWidth="1"/>
    <col min="19" max="19" width="2.6640625" style="410" customWidth="1"/>
    <col min="20" max="20" width="10.6640625" style="410" customWidth="1"/>
    <col min="21" max="22" width="2.6640625" style="410" customWidth="1"/>
    <col min="23" max="23" width="15.44140625" style="410" customWidth="1"/>
    <col min="24" max="25" width="5.6640625" style="410" customWidth="1"/>
    <col min="26" max="16384" width="9.109375" style="410"/>
  </cols>
  <sheetData>
    <row r="2" spans="2:23" x14ac:dyDescent="0.3">
      <c r="B2" s="418"/>
      <c r="C2" s="419"/>
      <c r="D2" s="419"/>
      <c r="E2" s="419"/>
      <c r="F2" s="419"/>
      <c r="G2" s="419"/>
      <c r="H2" s="419"/>
      <c r="I2" s="419"/>
      <c r="J2" s="419"/>
      <c r="K2" s="419"/>
      <c r="L2" s="685"/>
      <c r="M2" s="419"/>
      <c r="N2" s="419"/>
      <c r="O2" s="803"/>
      <c r="P2" s="419"/>
      <c r="Q2" s="419"/>
      <c r="R2" s="419"/>
      <c r="S2" s="419"/>
      <c r="T2" s="419"/>
      <c r="U2" s="419"/>
      <c r="V2" s="421"/>
    </row>
    <row r="3" spans="2:23" x14ac:dyDescent="0.3">
      <c r="B3" s="422"/>
      <c r="C3" s="423"/>
      <c r="D3" s="423"/>
      <c r="E3" s="423"/>
      <c r="F3" s="423"/>
      <c r="G3" s="423"/>
      <c r="H3" s="423"/>
      <c r="I3" s="423"/>
      <c r="J3" s="423"/>
      <c r="K3" s="423"/>
      <c r="L3" s="686"/>
      <c r="M3" s="423"/>
      <c r="N3" s="423"/>
      <c r="O3" s="804"/>
      <c r="P3" s="423"/>
      <c r="Q3" s="423"/>
      <c r="R3" s="423"/>
      <c r="S3" s="423"/>
      <c r="T3" s="423"/>
      <c r="U3" s="423"/>
      <c r="V3" s="425"/>
    </row>
    <row r="4" spans="2:23" s="129" customFormat="1" ht="18.75" customHeight="1" x14ac:dyDescent="0.35">
      <c r="B4" s="849"/>
      <c r="C4" s="834" t="s">
        <v>583</v>
      </c>
      <c r="D4" s="834"/>
      <c r="E4" s="130"/>
      <c r="F4" s="500"/>
      <c r="G4" s="130"/>
      <c r="H4" s="130"/>
      <c r="I4" s="130"/>
      <c r="J4" s="130"/>
      <c r="K4" s="130"/>
      <c r="L4" s="805"/>
      <c r="M4" s="130"/>
      <c r="N4" s="130"/>
      <c r="O4" s="806"/>
      <c r="P4" s="130"/>
      <c r="Q4" s="130"/>
      <c r="R4" s="130"/>
      <c r="S4" s="130"/>
      <c r="T4" s="130"/>
      <c r="U4" s="130"/>
      <c r="V4" s="135"/>
    </row>
    <row r="5" spans="2:23" ht="18.75" customHeight="1" x14ac:dyDescent="0.35">
      <c r="B5" s="66"/>
      <c r="C5" s="68" t="str">
        <f>geg!F11</f>
        <v>Voorbeeldschool</v>
      </c>
      <c r="D5" s="430"/>
      <c r="E5" s="423"/>
      <c r="F5" s="501"/>
      <c r="G5" s="423"/>
      <c r="H5" s="423"/>
      <c r="I5" s="423"/>
      <c r="J5" s="423"/>
      <c r="K5" s="423"/>
      <c r="L5" s="686"/>
      <c r="M5" s="423"/>
      <c r="N5" s="423"/>
      <c r="O5" s="804"/>
      <c r="P5" s="423"/>
      <c r="Q5" s="423"/>
      <c r="R5" s="423"/>
      <c r="S5" s="423"/>
      <c r="T5" s="423"/>
      <c r="U5" s="423"/>
      <c r="V5" s="425"/>
    </row>
    <row r="6" spans="2:23" x14ac:dyDescent="0.3">
      <c r="B6" s="422"/>
      <c r="C6" s="423"/>
      <c r="D6" s="423"/>
      <c r="E6" s="423"/>
      <c r="F6" s="423"/>
      <c r="G6" s="423"/>
      <c r="H6" s="423"/>
      <c r="I6" s="423"/>
      <c r="J6" s="423"/>
      <c r="K6" s="423"/>
      <c r="L6" s="686"/>
      <c r="M6" s="423"/>
      <c r="N6" s="423"/>
      <c r="O6" s="804"/>
      <c r="P6" s="423"/>
      <c r="Q6" s="423"/>
      <c r="R6" s="423"/>
      <c r="S6" s="423"/>
      <c r="T6" s="423"/>
      <c r="U6" s="423"/>
      <c r="V6" s="425"/>
    </row>
    <row r="7" spans="2:23" x14ac:dyDescent="0.3">
      <c r="B7" s="422"/>
      <c r="C7" s="423"/>
      <c r="D7" s="423"/>
      <c r="E7" s="423"/>
      <c r="F7" s="423"/>
      <c r="G7" s="423"/>
      <c r="H7" s="423"/>
      <c r="I7" s="423"/>
      <c r="J7" s="423"/>
      <c r="K7" s="423"/>
      <c r="L7" s="686"/>
      <c r="M7" s="423"/>
      <c r="N7" s="423"/>
      <c r="O7" s="804"/>
      <c r="P7" s="423"/>
      <c r="Q7" s="423"/>
      <c r="R7" s="423"/>
      <c r="S7" s="423"/>
      <c r="T7" s="423"/>
      <c r="U7" s="423"/>
      <c r="V7" s="425"/>
    </row>
    <row r="8" spans="2:23" x14ac:dyDescent="0.3">
      <c r="B8" s="422"/>
      <c r="C8" s="423"/>
      <c r="D8" s="423"/>
      <c r="E8" s="505"/>
      <c r="F8" s="423"/>
      <c r="G8" s="505"/>
      <c r="H8" s="423"/>
      <c r="I8" s="423"/>
      <c r="J8" s="423"/>
      <c r="K8" s="423"/>
      <c r="L8" s="686"/>
      <c r="M8" s="505"/>
      <c r="N8" s="423"/>
      <c r="O8" s="804"/>
      <c r="P8" s="505"/>
      <c r="Q8" s="423"/>
      <c r="R8" s="423"/>
      <c r="S8" s="505"/>
      <c r="T8" s="423"/>
      <c r="U8" s="505"/>
      <c r="V8" s="506"/>
      <c r="W8" s="507"/>
    </row>
    <row r="9" spans="2:23" x14ac:dyDescent="0.3">
      <c r="B9" s="422"/>
      <c r="C9" s="435"/>
      <c r="D9" s="436"/>
      <c r="E9" s="508"/>
      <c r="F9" s="436"/>
      <c r="G9" s="508"/>
      <c r="H9" s="436"/>
      <c r="I9" s="436"/>
      <c r="J9" s="436"/>
      <c r="K9" s="436"/>
      <c r="L9" s="807"/>
      <c r="M9" s="508"/>
      <c r="N9" s="436"/>
      <c r="O9" s="808"/>
      <c r="P9" s="508"/>
      <c r="Q9" s="438"/>
      <c r="R9" s="436"/>
      <c r="S9" s="508"/>
      <c r="T9" s="438"/>
      <c r="U9" s="508"/>
      <c r="V9" s="506"/>
      <c r="W9" s="507"/>
    </row>
    <row r="10" spans="2:23" x14ac:dyDescent="0.3">
      <c r="B10" s="422"/>
      <c r="C10" s="1184"/>
      <c r="D10" s="541" t="s">
        <v>436</v>
      </c>
      <c r="E10" s="1185"/>
      <c r="F10" s="887"/>
      <c r="G10" s="1186"/>
      <c r="H10" s="1187" t="s">
        <v>444</v>
      </c>
      <c r="I10" s="956"/>
      <c r="J10" s="977"/>
      <c r="K10" s="977"/>
      <c r="L10" s="1188"/>
      <c r="M10" s="1189"/>
      <c r="N10" s="1190" t="s">
        <v>445</v>
      </c>
      <c r="O10" s="1191"/>
      <c r="P10" s="1189"/>
      <c r="Q10" s="1192" t="s">
        <v>440</v>
      </c>
      <c r="R10" s="887"/>
      <c r="S10" s="1189"/>
      <c r="T10" s="1193" t="s">
        <v>446</v>
      </c>
      <c r="U10" s="1185"/>
      <c r="V10" s="506"/>
      <c r="W10" s="507"/>
    </row>
    <row r="11" spans="2:23" x14ac:dyDescent="0.3">
      <c r="B11" s="422"/>
      <c r="C11" s="1184"/>
      <c r="D11" s="1194" t="s">
        <v>437</v>
      </c>
      <c r="E11" s="1185"/>
      <c r="F11" s="885" t="s">
        <v>438</v>
      </c>
      <c r="G11" s="1186"/>
      <c r="H11" s="885" t="s">
        <v>439</v>
      </c>
      <c r="I11" s="904" t="s">
        <v>206</v>
      </c>
      <c r="J11" s="904" t="s">
        <v>225</v>
      </c>
      <c r="K11" s="908" t="s">
        <v>140</v>
      </c>
      <c r="L11" s="1195" t="s">
        <v>224</v>
      </c>
      <c r="M11" s="1196"/>
      <c r="N11" s="885" t="s">
        <v>439</v>
      </c>
      <c r="O11" s="1197" t="s">
        <v>224</v>
      </c>
      <c r="P11" s="1196"/>
      <c r="Q11" s="885" t="s">
        <v>439</v>
      </c>
      <c r="R11" s="908" t="s">
        <v>224</v>
      </c>
      <c r="S11" s="1196"/>
      <c r="T11" s="908"/>
      <c r="U11" s="1185"/>
      <c r="V11" s="506"/>
      <c r="W11" s="507"/>
    </row>
    <row r="12" spans="2:23" x14ac:dyDescent="0.3">
      <c r="B12" s="422"/>
      <c r="C12" s="122"/>
      <c r="D12" s="798"/>
      <c r="E12" s="443"/>
      <c r="F12" s="798"/>
      <c r="G12" s="443"/>
      <c r="H12" s="798"/>
      <c r="I12" s="389" t="s">
        <v>167</v>
      </c>
      <c r="J12" s="389">
        <v>1</v>
      </c>
      <c r="K12" s="711">
        <v>1</v>
      </c>
      <c r="L12" s="1198">
        <f>(((IF(I12="",0,VLOOKUP(I12,salaris2020,J12+1,FALSE)))*K12)*12)*(1+tab!$B$50)</f>
        <v>26476.800000000003</v>
      </c>
      <c r="M12" s="443"/>
      <c r="N12" s="798"/>
      <c r="O12" s="809">
        <v>0</v>
      </c>
      <c r="P12" s="443"/>
      <c r="Q12" s="799"/>
      <c r="R12" s="809">
        <v>0</v>
      </c>
      <c r="S12" s="443"/>
      <c r="T12" s="1199">
        <f>L12+O12+R12</f>
        <v>26476.800000000003</v>
      </c>
      <c r="U12" s="443"/>
      <c r="V12" s="425"/>
    </row>
    <row r="13" spans="2:23" x14ac:dyDescent="0.3">
      <c r="B13" s="422"/>
      <c r="C13" s="447"/>
      <c r="D13" s="798"/>
      <c r="E13" s="450"/>
      <c r="F13" s="798"/>
      <c r="G13" s="450"/>
      <c r="H13" s="798"/>
      <c r="I13" s="389"/>
      <c r="J13" s="389"/>
      <c r="K13" s="711"/>
      <c r="L13" s="1198">
        <f>(((IF(I13="",0,VLOOKUP(I13,salaris2020,J13+1,FALSE)))*K13)*12)*(1+tab!$B$50)</f>
        <v>0</v>
      </c>
      <c r="M13" s="450"/>
      <c r="N13" s="798"/>
      <c r="O13" s="809">
        <v>0</v>
      </c>
      <c r="P13" s="450"/>
      <c r="Q13" s="800"/>
      <c r="R13" s="809">
        <v>0</v>
      </c>
      <c r="S13" s="450"/>
      <c r="T13" s="1199">
        <f t="shared" ref="T13:T18" si="0">L13+O13+R13</f>
        <v>0</v>
      </c>
      <c r="U13" s="450"/>
      <c r="V13" s="425"/>
    </row>
    <row r="14" spans="2:23" x14ac:dyDescent="0.3">
      <c r="B14" s="422"/>
      <c r="C14" s="447"/>
      <c r="D14" s="798"/>
      <c r="E14" s="450"/>
      <c r="F14" s="798"/>
      <c r="G14" s="450"/>
      <c r="H14" s="798"/>
      <c r="I14" s="389"/>
      <c r="J14" s="389"/>
      <c r="K14" s="711"/>
      <c r="L14" s="1198">
        <f>(((IF(I14="",0,VLOOKUP(I14,salaris2020,J14+1,FALSE)))*K14)*12)*(1+tab!$B$50)</f>
        <v>0</v>
      </c>
      <c r="M14" s="450"/>
      <c r="N14" s="798"/>
      <c r="O14" s="809">
        <v>0</v>
      </c>
      <c r="P14" s="450"/>
      <c r="Q14" s="800"/>
      <c r="R14" s="809">
        <v>0</v>
      </c>
      <c r="S14" s="450"/>
      <c r="T14" s="1199">
        <f t="shared" si="0"/>
        <v>0</v>
      </c>
      <c r="U14" s="450"/>
      <c r="V14" s="425"/>
    </row>
    <row r="15" spans="2:23" x14ac:dyDescent="0.3">
      <c r="B15" s="422"/>
      <c r="C15" s="447"/>
      <c r="D15" s="798"/>
      <c r="E15" s="450"/>
      <c r="F15" s="798"/>
      <c r="G15" s="450"/>
      <c r="H15" s="798"/>
      <c r="I15" s="389"/>
      <c r="J15" s="389"/>
      <c r="K15" s="711"/>
      <c r="L15" s="1198">
        <f>(((IF(I15="",0,VLOOKUP(I15,salaris2020,J15+1,FALSE)))*K15)*12)*(1+tab!$B$50)</f>
        <v>0</v>
      </c>
      <c r="M15" s="450"/>
      <c r="N15" s="798"/>
      <c r="O15" s="809">
        <v>0</v>
      </c>
      <c r="P15" s="450"/>
      <c r="Q15" s="800"/>
      <c r="R15" s="809">
        <v>0</v>
      </c>
      <c r="S15" s="450"/>
      <c r="T15" s="1199">
        <f t="shared" si="0"/>
        <v>0</v>
      </c>
      <c r="U15" s="450"/>
      <c r="V15" s="425"/>
    </row>
    <row r="16" spans="2:23" x14ac:dyDescent="0.3">
      <c r="B16" s="422"/>
      <c r="C16" s="447"/>
      <c r="D16" s="798"/>
      <c r="E16" s="450"/>
      <c r="F16" s="798"/>
      <c r="G16" s="450"/>
      <c r="H16" s="798"/>
      <c r="I16" s="389"/>
      <c r="J16" s="389"/>
      <c r="K16" s="711"/>
      <c r="L16" s="1198">
        <f>(((IF(I16="",0,VLOOKUP(I16,salaris2020,J16+1,FALSE)))*K16)*12)*(1+tab!$B$50)</f>
        <v>0</v>
      </c>
      <c r="M16" s="450"/>
      <c r="N16" s="798"/>
      <c r="O16" s="809">
        <v>0</v>
      </c>
      <c r="P16" s="450"/>
      <c r="Q16" s="800"/>
      <c r="R16" s="809">
        <v>0</v>
      </c>
      <c r="S16" s="450"/>
      <c r="T16" s="1199">
        <f t="shared" si="0"/>
        <v>0</v>
      </c>
      <c r="U16" s="450"/>
      <c r="V16" s="425"/>
    </row>
    <row r="17" spans="2:23" x14ac:dyDescent="0.3">
      <c r="B17" s="422"/>
      <c r="C17" s="447"/>
      <c r="D17" s="798"/>
      <c r="E17" s="450"/>
      <c r="F17" s="798"/>
      <c r="G17" s="450"/>
      <c r="H17" s="798"/>
      <c r="I17" s="389"/>
      <c r="J17" s="389"/>
      <c r="K17" s="711"/>
      <c r="L17" s="1198">
        <f>(((IF(I17="",0,VLOOKUP(I17,salaris2020,J17+1,FALSE)))*K17)*12)*(1+tab!$B$50)</f>
        <v>0</v>
      </c>
      <c r="M17" s="450"/>
      <c r="N17" s="798"/>
      <c r="O17" s="809">
        <v>0</v>
      </c>
      <c r="P17" s="450"/>
      <c r="Q17" s="800"/>
      <c r="R17" s="809">
        <v>0</v>
      </c>
      <c r="S17" s="450"/>
      <c r="T17" s="1199">
        <f t="shared" si="0"/>
        <v>0</v>
      </c>
      <c r="U17" s="450"/>
      <c r="V17" s="425"/>
    </row>
    <row r="18" spans="2:23" x14ac:dyDescent="0.3">
      <c r="B18" s="422"/>
      <c r="C18" s="810"/>
      <c r="D18" s="801"/>
      <c r="E18" s="810"/>
      <c r="F18" s="801"/>
      <c r="G18" s="810"/>
      <c r="H18" s="801"/>
      <c r="I18" s="801"/>
      <c r="J18" s="801"/>
      <c r="K18" s="801"/>
      <c r="L18" s="1200">
        <f>SUM(L12:L17)</f>
        <v>26476.800000000003</v>
      </c>
      <c r="M18" s="810"/>
      <c r="N18" s="801"/>
      <c r="O18" s="1201">
        <f>SUM(O12:O17)</f>
        <v>0</v>
      </c>
      <c r="P18" s="810"/>
      <c r="Q18" s="801"/>
      <c r="R18" s="1201">
        <f>SUM(R12:R17)</f>
        <v>0</v>
      </c>
      <c r="S18" s="810"/>
      <c r="T18" s="1202">
        <f t="shared" si="0"/>
        <v>26476.800000000003</v>
      </c>
      <c r="U18" s="810"/>
      <c r="V18" s="425"/>
    </row>
    <row r="19" spans="2:23" x14ac:dyDescent="0.3">
      <c r="B19" s="422"/>
      <c r="E19" s="441"/>
      <c r="F19" s="441"/>
      <c r="G19" s="441"/>
      <c r="H19" s="441"/>
      <c r="I19" s="441"/>
      <c r="J19" s="441"/>
      <c r="K19" s="441"/>
      <c r="L19" s="811"/>
      <c r="M19" s="441"/>
      <c r="N19" s="441"/>
      <c r="O19" s="812"/>
      <c r="P19" s="441"/>
      <c r="Q19" s="441"/>
      <c r="R19" s="441"/>
      <c r="S19" s="441"/>
      <c r="T19" s="441"/>
      <c r="U19" s="441"/>
      <c r="V19" s="425"/>
    </row>
    <row r="20" spans="2:23" x14ac:dyDescent="0.3">
      <c r="B20" s="422"/>
      <c r="C20" s="423"/>
      <c r="D20" s="423"/>
      <c r="E20" s="501"/>
      <c r="F20" s="501"/>
      <c r="G20" s="501"/>
      <c r="H20" s="501"/>
      <c r="I20" s="501"/>
      <c r="J20" s="501"/>
      <c r="K20" s="501"/>
      <c r="L20" s="813"/>
      <c r="M20" s="501"/>
      <c r="N20" s="501"/>
      <c r="O20" s="814"/>
      <c r="P20" s="501"/>
      <c r="Q20" s="501"/>
      <c r="R20" s="501"/>
      <c r="S20" s="501"/>
      <c r="T20" s="501"/>
      <c r="U20" s="501"/>
      <c r="V20" s="425"/>
    </row>
    <row r="21" spans="2:23" x14ac:dyDescent="0.3">
      <c r="B21" s="422"/>
      <c r="C21" s="435"/>
      <c r="D21" s="436"/>
      <c r="E21" s="508"/>
      <c r="F21" s="436"/>
      <c r="G21" s="508"/>
      <c r="H21" s="436"/>
      <c r="I21" s="436"/>
      <c r="J21" s="436"/>
      <c r="K21" s="436"/>
      <c r="L21" s="807"/>
      <c r="M21" s="508"/>
      <c r="N21" s="436"/>
      <c r="O21" s="808"/>
      <c r="P21" s="508"/>
      <c r="Q21" s="438"/>
      <c r="R21" s="436"/>
      <c r="S21" s="508"/>
      <c r="T21" s="438"/>
      <c r="U21" s="508"/>
      <c r="V21" s="425"/>
    </row>
    <row r="22" spans="2:23" x14ac:dyDescent="0.3">
      <c r="B22" s="422"/>
      <c r="C22" s="1184"/>
      <c r="D22" s="541" t="s">
        <v>441</v>
      </c>
      <c r="E22" s="1185"/>
      <c r="F22" s="887"/>
      <c r="G22" s="1186"/>
      <c r="H22" s="1187" t="s">
        <v>444</v>
      </c>
      <c r="I22" s="956"/>
      <c r="J22" s="977"/>
      <c r="K22" s="977"/>
      <c r="L22" s="1188"/>
      <c r="M22" s="1189"/>
      <c r="N22" s="1190" t="s">
        <v>445</v>
      </c>
      <c r="O22" s="1191"/>
      <c r="P22" s="1189"/>
      <c r="Q22" s="1192" t="s">
        <v>440</v>
      </c>
      <c r="R22" s="887"/>
      <c r="S22" s="1189"/>
      <c r="T22" s="1193" t="s">
        <v>446</v>
      </c>
      <c r="U22" s="1185"/>
      <c r="V22" s="425"/>
    </row>
    <row r="23" spans="2:23" x14ac:dyDescent="0.3">
      <c r="B23" s="422"/>
      <c r="C23" s="1184"/>
      <c r="D23" s="1194" t="s">
        <v>437</v>
      </c>
      <c r="E23" s="1185"/>
      <c r="F23" s="885" t="s">
        <v>438</v>
      </c>
      <c r="G23" s="1186"/>
      <c r="H23" s="885" t="s">
        <v>439</v>
      </c>
      <c r="I23" s="904" t="s">
        <v>206</v>
      </c>
      <c r="J23" s="904" t="s">
        <v>225</v>
      </c>
      <c r="K23" s="908" t="s">
        <v>140</v>
      </c>
      <c r="L23" s="1195" t="s">
        <v>224</v>
      </c>
      <c r="M23" s="1196"/>
      <c r="N23" s="885" t="s">
        <v>439</v>
      </c>
      <c r="O23" s="1197" t="s">
        <v>224</v>
      </c>
      <c r="P23" s="1196"/>
      <c r="Q23" s="885" t="s">
        <v>439</v>
      </c>
      <c r="R23" s="908" t="s">
        <v>224</v>
      </c>
      <c r="S23" s="1196"/>
      <c r="T23" s="908"/>
      <c r="U23" s="1185"/>
      <c r="V23" s="506"/>
      <c r="W23" s="507"/>
    </row>
    <row r="24" spans="2:23" x14ac:dyDescent="0.3">
      <c r="B24" s="422"/>
      <c r="C24" s="122"/>
      <c r="D24" s="798"/>
      <c r="E24" s="443"/>
      <c r="F24" s="798"/>
      <c r="G24" s="443"/>
      <c r="H24" s="798"/>
      <c r="I24" s="389"/>
      <c r="J24" s="389"/>
      <c r="K24" s="711"/>
      <c r="L24" s="1198">
        <f>(((IF(I24="",0,VLOOKUP(I24,salaris2020,J24+1,FALSE)))*K24)*12)*(1+tab!$B$50)</f>
        <v>0</v>
      </c>
      <c r="M24" s="443"/>
      <c r="N24" s="798"/>
      <c r="O24" s="809">
        <v>0</v>
      </c>
      <c r="P24" s="443"/>
      <c r="Q24" s="799"/>
      <c r="R24" s="809">
        <v>0</v>
      </c>
      <c r="S24" s="443"/>
      <c r="T24" s="1199">
        <f t="shared" ref="T24:T30" si="1">L24+O24+R24</f>
        <v>0</v>
      </c>
      <c r="U24" s="443"/>
      <c r="V24" s="425"/>
    </row>
    <row r="25" spans="2:23" x14ac:dyDescent="0.3">
      <c r="B25" s="422"/>
      <c r="C25" s="447"/>
      <c r="D25" s="798"/>
      <c r="E25" s="450"/>
      <c r="F25" s="798"/>
      <c r="G25" s="450"/>
      <c r="H25" s="798"/>
      <c r="I25" s="389"/>
      <c r="J25" s="389"/>
      <c r="K25" s="711"/>
      <c r="L25" s="1198">
        <f>(((IF(I25="",0,VLOOKUP(I25,salaris2020,J25+1,FALSE)))*K25)*12)*(1+tab!$B$50)</f>
        <v>0</v>
      </c>
      <c r="M25" s="450"/>
      <c r="N25" s="798"/>
      <c r="O25" s="809">
        <v>0</v>
      </c>
      <c r="P25" s="450"/>
      <c r="Q25" s="800"/>
      <c r="R25" s="809">
        <v>0</v>
      </c>
      <c r="S25" s="450"/>
      <c r="T25" s="1199">
        <f t="shared" si="1"/>
        <v>0</v>
      </c>
      <c r="U25" s="450"/>
      <c r="V25" s="425"/>
    </row>
    <row r="26" spans="2:23" x14ac:dyDescent="0.3">
      <c r="B26" s="422"/>
      <c r="C26" s="447"/>
      <c r="D26" s="798"/>
      <c r="E26" s="450"/>
      <c r="F26" s="798"/>
      <c r="G26" s="450"/>
      <c r="H26" s="798"/>
      <c r="I26" s="389"/>
      <c r="J26" s="389"/>
      <c r="K26" s="711"/>
      <c r="L26" s="1198">
        <f>(((IF(I26="",0,VLOOKUP(I26,salaris2020,J26+1,FALSE)))*K26)*12)*(1+tab!$B$50)</f>
        <v>0</v>
      </c>
      <c r="M26" s="450"/>
      <c r="N26" s="798"/>
      <c r="O26" s="809">
        <v>0</v>
      </c>
      <c r="P26" s="450"/>
      <c r="Q26" s="800"/>
      <c r="R26" s="809">
        <v>0</v>
      </c>
      <c r="S26" s="450"/>
      <c r="T26" s="1199">
        <f t="shared" si="1"/>
        <v>0</v>
      </c>
      <c r="U26" s="450"/>
      <c r="V26" s="425"/>
    </row>
    <row r="27" spans="2:23" x14ac:dyDescent="0.3">
      <c r="B27" s="422"/>
      <c r="C27" s="447"/>
      <c r="D27" s="798"/>
      <c r="E27" s="450"/>
      <c r="F27" s="798"/>
      <c r="G27" s="450"/>
      <c r="H27" s="798"/>
      <c r="I27" s="389"/>
      <c r="J27" s="389"/>
      <c r="K27" s="711"/>
      <c r="L27" s="1198">
        <f>(((IF(I27="",0,VLOOKUP(I27,salaris2020,J27+1,FALSE)))*K27)*12)*(1+tab!$B$50)</f>
        <v>0</v>
      </c>
      <c r="M27" s="450"/>
      <c r="N27" s="798"/>
      <c r="O27" s="809">
        <v>0</v>
      </c>
      <c r="P27" s="450"/>
      <c r="Q27" s="800"/>
      <c r="R27" s="809">
        <v>0</v>
      </c>
      <c r="S27" s="450"/>
      <c r="T27" s="1199">
        <f t="shared" si="1"/>
        <v>0</v>
      </c>
      <c r="U27" s="450"/>
      <c r="V27" s="425"/>
    </row>
    <row r="28" spans="2:23" x14ac:dyDescent="0.3">
      <c r="B28" s="422"/>
      <c r="C28" s="447"/>
      <c r="D28" s="798"/>
      <c r="E28" s="450"/>
      <c r="F28" s="798"/>
      <c r="G28" s="450"/>
      <c r="H28" s="798"/>
      <c r="I28" s="389"/>
      <c r="J28" s="389"/>
      <c r="K28" s="711"/>
      <c r="L28" s="1198">
        <f>(((IF(I28="",0,VLOOKUP(I28,salaris2020,J28+1,FALSE)))*K28)*12)*(1+tab!$B$50)</f>
        <v>0</v>
      </c>
      <c r="M28" s="450"/>
      <c r="N28" s="798"/>
      <c r="O28" s="809">
        <v>0</v>
      </c>
      <c r="P28" s="450"/>
      <c r="Q28" s="800"/>
      <c r="R28" s="809">
        <v>0</v>
      </c>
      <c r="S28" s="450"/>
      <c r="T28" s="1199">
        <f t="shared" si="1"/>
        <v>0</v>
      </c>
      <c r="U28" s="450"/>
      <c r="V28" s="425"/>
    </row>
    <row r="29" spans="2:23" x14ac:dyDescent="0.3">
      <c r="B29" s="422"/>
      <c r="C29" s="447"/>
      <c r="D29" s="798"/>
      <c r="E29" s="450"/>
      <c r="F29" s="798"/>
      <c r="G29" s="450"/>
      <c r="H29" s="798"/>
      <c r="I29" s="389"/>
      <c r="J29" s="389"/>
      <c r="K29" s="711"/>
      <c r="L29" s="1198">
        <f>(((IF(I29="",0,VLOOKUP(I29,salaris2020,J29+1,FALSE)))*K29)*12)*(1+tab!$B$50)</f>
        <v>0</v>
      </c>
      <c r="M29" s="450"/>
      <c r="N29" s="798"/>
      <c r="O29" s="809">
        <v>0</v>
      </c>
      <c r="P29" s="450"/>
      <c r="Q29" s="800"/>
      <c r="R29" s="809">
        <v>0</v>
      </c>
      <c r="S29" s="450"/>
      <c r="T29" s="1199">
        <f t="shared" si="1"/>
        <v>0</v>
      </c>
      <c r="U29" s="450"/>
      <c r="V29" s="425"/>
    </row>
    <row r="30" spans="2:23" x14ac:dyDescent="0.3">
      <c r="B30" s="422"/>
      <c r="C30" s="810"/>
      <c r="D30" s="801"/>
      <c r="E30" s="810"/>
      <c r="F30" s="801"/>
      <c r="G30" s="810"/>
      <c r="H30" s="801"/>
      <c r="I30" s="801"/>
      <c r="J30" s="801"/>
      <c r="K30" s="801"/>
      <c r="L30" s="1200">
        <f>SUM(L24:L29)</f>
        <v>0</v>
      </c>
      <c r="M30" s="810"/>
      <c r="N30" s="801"/>
      <c r="O30" s="1201">
        <f>SUM(O24:O29)</f>
        <v>0</v>
      </c>
      <c r="P30" s="810"/>
      <c r="Q30" s="801"/>
      <c r="R30" s="1201">
        <f>SUM(R24:R29)</f>
        <v>0</v>
      </c>
      <c r="S30" s="810"/>
      <c r="T30" s="1202">
        <f t="shared" si="1"/>
        <v>0</v>
      </c>
      <c r="U30" s="810"/>
      <c r="V30" s="425"/>
    </row>
    <row r="31" spans="2:23" x14ac:dyDescent="0.3">
      <c r="B31" s="422"/>
      <c r="E31" s="441"/>
      <c r="F31" s="441"/>
      <c r="G31" s="441"/>
      <c r="H31" s="441"/>
      <c r="I31" s="441"/>
      <c r="J31" s="441"/>
      <c r="K31" s="441"/>
      <c r="L31" s="811"/>
      <c r="M31" s="441"/>
      <c r="N31" s="441"/>
      <c r="O31" s="812"/>
      <c r="P31" s="441"/>
      <c r="Q31" s="441"/>
      <c r="R31" s="441"/>
      <c r="S31" s="441"/>
      <c r="T31" s="441"/>
      <c r="U31" s="441"/>
      <c r="V31" s="425"/>
    </row>
    <row r="32" spans="2:23" x14ac:dyDescent="0.3">
      <c r="B32" s="422"/>
      <c r="C32" s="423"/>
      <c r="D32" s="530"/>
      <c r="E32" s="423"/>
      <c r="F32" s="531"/>
      <c r="G32" s="423"/>
      <c r="H32" s="531"/>
      <c r="I32" s="531"/>
      <c r="J32" s="531"/>
      <c r="K32" s="531"/>
      <c r="L32" s="784"/>
      <c r="M32" s="423"/>
      <c r="N32" s="531"/>
      <c r="O32" s="815"/>
      <c r="P32" s="423"/>
      <c r="Q32" s="531"/>
      <c r="R32" s="531"/>
      <c r="S32" s="423"/>
      <c r="T32" s="531"/>
      <c r="U32" s="423"/>
      <c r="V32" s="425"/>
    </row>
    <row r="33" spans="2:23" x14ac:dyDescent="0.3">
      <c r="B33" s="422"/>
      <c r="C33" s="435"/>
      <c r="D33" s="436"/>
      <c r="E33" s="508"/>
      <c r="F33" s="436"/>
      <c r="G33" s="508"/>
      <c r="H33" s="436"/>
      <c r="I33" s="436"/>
      <c r="J33" s="436"/>
      <c r="K33" s="436"/>
      <c r="L33" s="807"/>
      <c r="M33" s="508"/>
      <c r="N33" s="436"/>
      <c r="O33" s="808"/>
      <c r="P33" s="508"/>
      <c r="Q33" s="438"/>
      <c r="R33" s="436"/>
      <c r="S33" s="508"/>
      <c r="T33" s="438"/>
      <c r="U33" s="508"/>
      <c r="V33" s="425"/>
    </row>
    <row r="34" spans="2:23" x14ac:dyDescent="0.3">
      <c r="B34" s="422"/>
      <c r="C34" s="1184"/>
      <c r="D34" s="541" t="s">
        <v>442</v>
      </c>
      <c r="E34" s="1185"/>
      <c r="F34" s="887"/>
      <c r="G34" s="1186"/>
      <c r="H34" s="1187" t="s">
        <v>444</v>
      </c>
      <c r="I34" s="956"/>
      <c r="J34" s="977"/>
      <c r="K34" s="977"/>
      <c r="L34" s="1188"/>
      <c r="M34" s="1189"/>
      <c r="N34" s="1190" t="s">
        <v>445</v>
      </c>
      <c r="O34" s="1191"/>
      <c r="P34" s="1189"/>
      <c r="Q34" s="1192" t="s">
        <v>440</v>
      </c>
      <c r="R34" s="887"/>
      <c r="S34" s="1189"/>
      <c r="T34" s="1193" t="s">
        <v>446</v>
      </c>
      <c r="U34" s="1185"/>
      <c r="V34" s="425"/>
    </row>
    <row r="35" spans="2:23" x14ac:dyDescent="0.3">
      <c r="B35" s="422"/>
      <c r="C35" s="1184"/>
      <c r="D35" s="1194" t="s">
        <v>437</v>
      </c>
      <c r="E35" s="1185"/>
      <c r="F35" s="885" t="s">
        <v>438</v>
      </c>
      <c r="G35" s="1186"/>
      <c r="H35" s="885" t="s">
        <v>439</v>
      </c>
      <c r="I35" s="904" t="s">
        <v>206</v>
      </c>
      <c r="J35" s="904" t="s">
        <v>225</v>
      </c>
      <c r="K35" s="908" t="s">
        <v>140</v>
      </c>
      <c r="L35" s="1195" t="s">
        <v>224</v>
      </c>
      <c r="M35" s="1196"/>
      <c r="N35" s="885" t="s">
        <v>439</v>
      </c>
      <c r="O35" s="1197" t="s">
        <v>224</v>
      </c>
      <c r="P35" s="1196"/>
      <c r="Q35" s="885" t="s">
        <v>439</v>
      </c>
      <c r="R35" s="908" t="s">
        <v>224</v>
      </c>
      <c r="S35" s="1196"/>
      <c r="T35" s="908"/>
      <c r="U35" s="1185"/>
      <c r="V35" s="506"/>
      <c r="W35" s="507"/>
    </row>
    <row r="36" spans="2:23" x14ac:dyDescent="0.3">
      <c r="B36" s="422"/>
      <c r="C36" s="122"/>
      <c r="D36" s="798"/>
      <c r="E36" s="443"/>
      <c r="F36" s="798"/>
      <c r="G36" s="443"/>
      <c r="H36" s="798"/>
      <c r="I36" s="389"/>
      <c r="J36" s="389"/>
      <c r="K36" s="711"/>
      <c r="L36" s="1198">
        <f>(((IF(I36="",0,VLOOKUP(I36,salaris2020,J36+1,FALSE)))*K36)*12)*(1+tab!$B$50)</f>
        <v>0</v>
      </c>
      <c r="M36" s="443"/>
      <c r="N36" s="798"/>
      <c r="O36" s="809">
        <v>0</v>
      </c>
      <c r="P36" s="443"/>
      <c r="Q36" s="799"/>
      <c r="R36" s="809">
        <v>0</v>
      </c>
      <c r="S36" s="443"/>
      <c r="T36" s="1199">
        <f t="shared" ref="T36:T42" si="2">L36+O36+R36</f>
        <v>0</v>
      </c>
      <c r="U36" s="443"/>
      <c r="V36" s="425"/>
    </row>
    <row r="37" spans="2:23" x14ac:dyDescent="0.3">
      <c r="B37" s="422"/>
      <c r="C37" s="447"/>
      <c r="D37" s="798"/>
      <c r="E37" s="450"/>
      <c r="F37" s="798"/>
      <c r="G37" s="450"/>
      <c r="H37" s="798"/>
      <c r="I37" s="389"/>
      <c r="J37" s="389"/>
      <c r="K37" s="711"/>
      <c r="L37" s="1198">
        <f>(((IF(I37="",0,VLOOKUP(I37,salaris2020,J37+1,FALSE)))*K37)*12)*(1+tab!$B$50)</f>
        <v>0</v>
      </c>
      <c r="M37" s="450"/>
      <c r="N37" s="798"/>
      <c r="O37" s="809">
        <v>0</v>
      </c>
      <c r="P37" s="450"/>
      <c r="Q37" s="800"/>
      <c r="R37" s="809">
        <v>0</v>
      </c>
      <c r="S37" s="450"/>
      <c r="T37" s="1199">
        <f t="shared" si="2"/>
        <v>0</v>
      </c>
      <c r="U37" s="450"/>
      <c r="V37" s="425"/>
    </row>
    <row r="38" spans="2:23" x14ac:dyDescent="0.3">
      <c r="B38" s="422"/>
      <c r="C38" s="447"/>
      <c r="D38" s="798"/>
      <c r="E38" s="450"/>
      <c r="F38" s="798"/>
      <c r="G38" s="450"/>
      <c r="H38" s="798"/>
      <c r="I38" s="389"/>
      <c r="J38" s="389"/>
      <c r="K38" s="711"/>
      <c r="L38" s="1198">
        <f>(((IF(I38="",0,VLOOKUP(I38,salaris2020,J38+1,FALSE)))*K38)*12)*(1+tab!$B$50)</f>
        <v>0</v>
      </c>
      <c r="M38" s="450"/>
      <c r="N38" s="798"/>
      <c r="O38" s="809">
        <v>0</v>
      </c>
      <c r="P38" s="450"/>
      <c r="Q38" s="800"/>
      <c r="R38" s="809">
        <v>0</v>
      </c>
      <c r="S38" s="450"/>
      <c r="T38" s="1199">
        <f t="shared" si="2"/>
        <v>0</v>
      </c>
      <c r="U38" s="450"/>
      <c r="V38" s="425"/>
    </row>
    <row r="39" spans="2:23" x14ac:dyDescent="0.3">
      <c r="B39" s="422"/>
      <c r="C39" s="447"/>
      <c r="D39" s="798"/>
      <c r="E39" s="450"/>
      <c r="F39" s="798"/>
      <c r="G39" s="450"/>
      <c r="H39" s="798"/>
      <c r="I39" s="389"/>
      <c r="J39" s="389"/>
      <c r="K39" s="711"/>
      <c r="L39" s="1198">
        <f>(((IF(I39="",0,VLOOKUP(I39,salaris2020,J39+1,FALSE)))*K39)*12)*(1+tab!$B$50)</f>
        <v>0</v>
      </c>
      <c r="M39" s="450"/>
      <c r="N39" s="798"/>
      <c r="O39" s="809">
        <v>0</v>
      </c>
      <c r="P39" s="450"/>
      <c r="Q39" s="800"/>
      <c r="R39" s="809">
        <v>0</v>
      </c>
      <c r="S39" s="450"/>
      <c r="T39" s="1199">
        <f t="shared" si="2"/>
        <v>0</v>
      </c>
      <c r="U39" s="450"/>
      <c r="V39" s="425"/>
    </row>
    <row r="40" spans="2:23" x14ac:dyDescent="0.3">
      <c r="B40" s="422"/>
      <c r="C40" s="447"/>
      <c r="D40" s="798"/>
      <c r="E40" s="450"/>
      <c r="F40" s="798"/>
      <c r="G40" s="450"/>
      <c r="H40" s="798"/>
      <c r="I40" s="389"/>
      <c r="J40" s="389"/>
      <c r="K40" s="711"/>
      <c r="L40" s="1198">
        <f>(((IF(I40="",0,VLOOKUP(I40,salaris2020,J40+1,FALSE)))*K40)*12)*(1+tab!$B$50)</f>
        <v>0</v>
      </c>
      <c r="M40" s="450"/>
      <c r="N40" s="798"/>
      <c r="O40" s="809">
        <v>0</v>
      </c>
      <c r="P40" s="450"/>
      <c r="Q40" s="800"/>
      <c r="R40" s="809">
        <v>0</v>
      </c>
      <c r="S40" s="450"/>
      <c r="T40" s="1199">
        <f t="shared" si="2"/>
        <v>0</v>
      </c>
      <c r="U40" s="450"/>
      <c r="V40" s="425"/>
    </row>
    <row r="41" spans="2:23" x14ac:dyDescent="0.3">
      <c r="B41" s="422"/>
      <c r="C41" s="447"/>
      <c r="D41" s="798"/>
      <c r="E41" s="450"/>
      <c r="F41" s="798"/>
      <c r="G41" s="450"/>
      <c r="H41" s="798"/>
      <c r="I41" s="389"/>
      <c r="J41" s="389"/>
      <c r="K41" s="711"/>
      <c r="L41" s="1198">
        <f>(((IF(I41="",0,VLOOKUP(I41,salaris2020,J41+1,FALSE)))*K41)*12)*(1+tab!$B$50)</f>
        <v>0</v>
      </c>
      <c r="M41" s="450"/>
      <c r="N41" s="798"/>
      <c r="O41" s="809">
        <v>0</v>
      </c>
      <c r="P41" s="450"/>
      <c r="Q41" s="800"/>
      <c r="R41" s="809">
        <v>0</v>
      </c>
      <c r="S41" s="450"/>
      <c r="T41" s="1199">
        <f t="shared" si="2"/>
        <v>0</v>
      </c>
      <c r="U41" s="450"/>
      <c r="V41" s="425"/>
    </row>
    <row r="42" spans="2:23" x14ac:dyDescent="0.3">
      <c r="B42" s="422"/>
      <c r="C42" s="810"/>
      <c r="D42" s="801"/>
      <c r="E42" s="810"/>
      <c r="F42" s="801"/>
      <c r="G42" s="810"/>
      <c r="H42" s="801"/>
      <c r="I42" s="801"/>
      <c r="J42" s="801"/>
      <c r="K42" s="801"/>
      <c r="L42" s="1200">
        <f>SUM(L36:L41)</f>
        <v>0</v>
      </c>
      <c r="M42" s="810"/>
      <c r="N42" s="801"/>
      <c r="O42" s="1201">
        <f>SUM(O36:O41)</f>
        <v>0</v>
      </c>
      <c r="P42" s="810"/>
      <c r="Q42" s="801"/>
      <c r="R42" s="1201">
        <f>SUM(R36:R41)</f>
        <v>0</v>
      </c>
      <c r="S42" s="810"/>
      <c r="T42" s="1202">
        <f t="shared" si="2"/>
        <v>0</v>
      </c>
      <c r="U42" s="810"/>
      <c r="V42" s="425"/>
    </row>
    <row r="43" spans="2:23" x14ac:dyDescent="0.3">
      <c r="B43" s="422"/>
      <c r="E43" s="441"/>
      <c r="F43" s="441"/>
      <c r="G43" s="441"/>
      <c r="H43" s="441"/>
      <c r="I43" s="441"/>
      <c r="J43" s="441"/>
      <c r="K43" s="441"/>
      <c r="L43" s="811"/>
      <c r="M43" s="441"/>
      <c r="N43" s="441"/>
      <c r="O43" s="812"/>
      <c r="P43" s="441"/>
      <c r="Q43" s="441"/>
      <c r="R43" s="441"/>
      <c r="S43" s="441"/>
      <c r="T43" s="441"/>
      <c r="U43" s="441"/>
      <c r="V43" s="425"/>
    </row>
    <row r="44" spans="2:23" x14ac:dyDescent="0.3">
      <c r="B44" s="422"/>
      <c r="C44" s="423"/>
      <c r="D44" s="530"/>
      <c r="E44" s="423"/>
      <c r="F44" s="531"/>
      <c r="G44" s="423"/>
      <c r="H44" s="531"/>
      <c r="I44" s="531"/>
      <c r="J44" s="531"/>
      <c r="K44" s="531"/>
      <c r="L44" s="784"/>
      <c r="M44" s="423"/>
      <c r="N44" s="531"/>
      <c r="O44" s="815"/>
      <c r="P44" s="423"/>
      <c r="Q44" s="531"/>
      <c r="R44" s="531"/>
      <c r="S44" s="423"/>
      <c r="T44" s="531"/>
      <c r="U44" s="423"/>
      <c r="V44" s="425"/>
    </row>
    <row r="45" spans="2:23" x14ac:dyDescent="0.3">
      <c r="B45" s="422"/>
      <c r="C45" s="435"/>
      <c r="D45" s="436"/>
      <c r="E45" s="508"/>
      <c r="F45" s="436"/>
      <c r="G45" s="508"/>
      <c r="H45" s="436"/>
      <c r="I45" s="436"/>
      <c r="J45" s="436"/>
      <c r="K45" s="436"/>
      <c r="L45" s="807"/>
      <c r="M45" s="508"/>
      <c r="N45" s="436"/>
      <c r="O45" s="808"/>
      <c r="P45" s="508"/>
      <c r="Q45" s="438"/>
      <c r="R45" s="436"/>
      <c r="S45" s="508"/>
      <c r="T45" s="438"/>
      <c r="U45" s="508"/>
      <c r="V45" s="425"/>
    </row>
    <row r="46" spans="2:23" x14ac:dyDescent="0.3">
      <c r="B46" s="422"/>
      <c r="C46" s="1184"/>
      <c r="D46" s="541" t="s">
        <v>447</v>
      </c>
      <c r="E46" s="1185"/>
      <c r="F46" s="887"/>
      <c r="G46" s="1186"/>
      <c r="H46" s="1187" t="s">
        <v>444</v>
      </c>
      <c r="I46" s="956"/>
      <c r="J46" s="977"/>
      <c r="K46" s="977"/>
      <c r="L46" s="1188"/>
      <c r="M46" s="1189"/>
      <c r="N46" s="1190" t="s">
        <v>445</v>
      </c>
      <c r="O46" s="1191"/>
      <c r="P46" s="1189"/>
      <c r="Q46" s="1192" t="s">
        <v>440</v>
      </c>
      <c r="R46" s="887"/>
      <c r="S46" s="1189"/>
      <c r="T46" s="1193" t="s">
        <v>446</v>
      </c>
      <c r="U46" s="1185"/>
      <c r="V46" s="425"/>
    </row>
    <row r="47" spans="2:23" x14ac:dyDescent="0.3">
      <c r="B47" s="422"/>
      <c r="C47" s="1184"/>
      <c r="D47" s="1194" t="s">
        <v>437</v>
      </c>
      <c r="E47" s="1185"/>
      <c r="F47" s="885" t="s">
        <v>438</v>
      </c>
      <c r="G47" s="1186"/>
      <c r="H47" s="885" t="s">
        <v>439</v>
      </c>
      <c r="I47" s="904" t="s">
        <v>206</v>
      </c>
      <c r="J47" s="904" t="s">
        <v>225</v>
      </c>
      <c r="K47" s="908" t="s">
        <v>140</v>
      </c>
      <c r="L47" s="1195" t="s">
        <v>224</v>
      </c>
      <c r="M47" s="1196"/>
      <c r="N47" s="885" t="s">
        <v>439</v>
      </c>
      <c r="O47" s="1197" t="s">
        <v>224</v>
      </c>
      <c r="P47" s="1196"/>
      <c r="Q47" s="885" t="s">
        <v>439</v>
      </c>
      <c r="R47" s="908" t="s">
        <v>224</v>
      </c>
      <c r="S47" s="1196"/>
      <c r="T47" s="908"/>
      <c r="U47" s="1185"/>
      <c r="V47" s="425"/>
    </row>
    <row r="48" spans="2:23" x14ac:dyDescent="0.3">
      <c r="B48" s="422"/>
      <c r="C48" s="122"/>
      <c r="D48" s="798"/>
      <c r="E48" s="443"/>
      <c r="F48" s="798"/>
      <c r="G48" s="443"/>
      <c r="H48" s="798"/>
      <c r="I48" s="389"/>
      <c r="J48" s="389"/>
      <c r="K48" s="711"/>
      <c r="L48" s="1198">
        <f>(((IF(I48="",0,VLOOKUP(I48,salaris2020,J48+1,FALSE)))*K48)*12)*(1+tab!$B$50)</f>
        <v>0</v>
      </c>
      <c r="M48" s="443"/>
      <c r="N48" s="798"/>
      <c r="O48" s="809">
        <v>0</v>
      </c>
      <c r="P48" s="443"/>
      <c r="Q48" s="799"/>
      <c r="R48" s="809">
        <v>0</v>
      </c>
      <c r="S48" s="443"/>
      <c r="T48" s="1199">
        <f t="shared" ref="T48:T54" si="3">L48+O48+R48</f>
        <v>0</v>
      </c>
      <c r="U48" s="443"/>
      <c r="V48" s="425"/>
    </row>
    <row r="49" spans="2:22" x14ac:dyDescent="0.3">
      <c r="B49" s="422"/>
      <c r="C49" s="447"/>
      <c r="D49" s="798"/>
      <c r="E49" s="450"/>
      <c r="F49" s="798"/>
      <c r="G49" s="450"/>
      <c r="H49" s="798"/>
      <c r="I49" s="389"/>
      <c r="J49" s="389"/>
      <c r="K49" s="711"/>
      <c r="L49" s="1198">
        <f>(((IF(I49="",0,VLOOKUP(I49,salaris2020,J49+1,FALSE)))*K49)*12)*(1+tab!$B$50)</f>
        <v>0</v>
      </c>
      <c r="M49" s="450"/>
      <c r="N49" s="798"/>
      <c r="O49" s="809">
        <v>0</v>
      </c>
      <c r="P49" s="450"/>
      <c r="Q49" s="800"/>
      <c r="R49" s="809">
        <v>0</v>
      </c>
      <c r="S49" s="450"/>
      <c r="T49" s="1199">
        <f t="shared" si="3"/>
        <v>0</v>
      </c>
      <c r="U49" s="450"/>
      <c r="V49" s="425"/>
    </row>
    <row r="50" spans="2:22" x14ac:dyDescent="0.3">
      <c r="B50" s="422"/>
      <c r="C50" s="447"/>
      <c r="D50" s="798"/>
      <c r="E50" s="450"/>
      <c r="F50" s="798"/>
      <c r="G50" s="450"/>
      <c r="H50" s="798"/>
      <c r="I50" s="389"/>
      <c r="J50" s="389"/>
      <c r="K50" s="711"/>
      <c r="L50" s="1198">
        <f>(((IF(I50="",0,VLOOKUP(I50,salaris2020,J50+1,FALSE)))*K50)*12)*(1+tab!$B$50)</f>
        <v>0</v>
      </c>
      <c r="M50" s="450"/>
      <c r="N50" s="798"/>
      <c r="O50" s="809">
        <v>0</v>
      </c>
      <c r="P50" s="450"/>
      <c r="Q50" s="800"/>
      <c r="R50" s="809">
        <v>0</v>
      </c>
      <c r="S50" s="450"/>
      <c r="T50" s="1199">
        <f t="shared" si="3"/>
        <v>0</v>
      </c>
      <c r="U50" s="450"/>
      <c r="V50" s="425"/>
    </row>
    <row r="51" spans="2:22" x14ac:dyDescent="0.3">
      <c r="B51" s="422"/>
      <c r="C51" s="447"/>
      <c r="D51" s="798"/>
      <c r="E51" s="450"/>
      <c r="F51" s="798"/>
      <c r="G51" s="450"/>
      <c r="H51" s="798"/>
      <c r="I51" s="389"/>
      <c r="J51" s="389"/>
      <c r="K51" s="711"/>
      <c r="L51" s="1198">
        <f>(((IF(I51="",0,VLOOKUP(I51,salaris2020,J51+1,FALSE)))*K51)*12)*(1+tab!$B$50)</f>
        <v>0</v>
      </c>
      <c r="M51" s="450"/>
      <c r="N51" s="798"/>
      <c r="O51" s="809">
        <v>0</v>
      </c>
      <c r="P51" s="450"/>
      <c r="Q51" s="800"/>
      <c r="R51" s="809">
        <v>0</v>
      </c>
      <c r="S51" s="450"/>
      <c r="T51" s="1199">
        <f t="shared" si="3"/>
        <v>0</v>
      </c>
      <c r="U51" s="450"/>
      <c r="V51" s="425"/>
    </row>
    <row r="52" spans="2:22" x14ac:dyDescent="0.3">
      <c r="B52" s="422"/>
      <c r="C52" s="447"/>
      <c r="D52" s="798"/>
      <c r="E52" s="450"/>
      <c r="F52" s="798"/>
      <c r="G52" s="450"/>
      <c r="H52" s="798"/>
      <c r="I52" s="389"/>
      <c r="J52" s="389"/>
      <c r="K52" s="711"/>
      <c r="L52" s="1198">
        <f>(((IF(I52="",0,VLOOKUP(I52,salaris2020,J52+1,FALSE)))*K52)*12)*(1+tab!$B$50)</f>
        <v>0</v>
      </c>
      <c r="M52" s="450"/>
      <c r="N52" s="798"/>
      <c r="O52" s="809">
        <v>0</v>
      </c>
      <c r="P52" s="450"/>
      <c r="Q52" s="800"/>
      <c r="R52" s="809">
        <v>0</v>
      </c>
      <c r="S52" s="450"/>
      <c r="T52" s="1199">
        <f t="shared" si="3"/>
        <v>0</v>
      </c>
      <c r="U52" s="450"/>
      <c r="V52" s="425"/>
    </row>
    <row r="53" spans="2:22" x14ac:dyDescent="0.3">
      <c r="B53" s="422"/>
      <c r="C53" s="447"/>
      <c r="D53" s="798"/>
      <c r="E53" s="450"/>
      <c r="F53" s="798"/>
      <c r="G53" s="450"/>
      <c r="H53" s="798"/>
      <c r="I53" s="389"/>
      <c r="J53" s="389"/>
      <c r="K53" s="711"/>
      <c r="L53" s="1198">
        <f>(((IF(I53="",0,VLOOKUP(I53,salaris2020,J53+1,FALSE)))*K53)*12)*(1+tab!$B$50)</f>
        <v>0</v>
      </c>
      <c r="M53" s="450"/>
      <c r="N53" s="798"/>
      <c r="O53" s="809">
        <v>0</v>
      </c>
      <c r="P53" s="450"/>
      <c r="Q53" s="800"/>
      <c r="R53" s="809">
        <v>0</v>
      </c>
      <c r="S53" s="450"/>
      <c r="T53" s="1199">
        <f t="shared" si="3"/>
        <v>0</v>
      </c>
      <c r="U53" s="450"/>
      <c r="V53" s="425"/>
    </row>
    <row r="54" spans="2:22" x14ac:dyDescent="0.3">
      <c r="B54" s="422"/>
      <c r="C54" s="810"/>
      <c r="D54" s="801"/>
      <c r="E54" s="810"/>
      <c r="F54" s="801"/>
      <c r="G54" s="810"/>
      <c r="H54" s="801"/>
      <c r="I54" s="801"/>
      <c r="J54" s="801"/>
      <c r="K54" s="801"/>
      <c r="L54" s="1200">
        <f>SUM(L48:L53)</f>
        <v>0</v>
      </c>
      <c r="M54" s="810"/>
      <c r="N54" s="801"/>
      <c r="O54" s="1201">
        <f>SUM(O48:O53)</f>
        <v>0</v>
      </c>
      <c r="P54" s="810"/>
      <c r="Q54" s="801"/>
      <c r="R54" s="1201">
        <f>SUM(R48:R53)</f>
        <v>0</v>
      </c>
      <c r="S54" s="810"/>
      <c r="T54" s="1202">
        <f t="shared" si="3"/>
        <v>0</v>
      </c>
      <c r="U54" s="810"/>
      <c r="V54" s="425"/>
    </row>
    <row r="55" spans="2:22" x14ac:dyDescent="0.3">
      <c r="B55" s="422"/>
      <c r="E55" s="441"/>
      <c r="F55" s="441"/>
      <c r="G55" s="441"/>
      <c r="H55" s="441"/>
      <c r="I55" s="441"/>
      <c r="J55" s="441"/>
      <c r="K55" s="441"/>
      <c r="L55" s="811"/>
      <c r="M55" s="441"/>
      <c r="N55" s="441"/>
      <c r="O55" s="812"/>
      <c r="P55" s="441"/>
      <c r="Q55" s="441"/>
      <c r="R55" s="441"/>
      <c r="S55" s="441"/>
      <c r="T55" s="441"/>
      <c r="U55" s="441"/>
      <c r="V55" s="425"/>
    </row>
    <row r="56" spans="2:22" x14ac:dyDescent="0.3">
      <c r="B56" s="422"/>
      <c r="C56" s="423"/>
      <c r="D56" s="530"/>
      <c r="E56" s="423"/>
      <c r="F56" s="531"/>
      <c r="G56" s="423"/>
      <c r="H56" s="531"/>
      <c r="I56" s="531"/>
      <c r="J56" s="531"/>
      <c r="K56" s="531"/>
      <c r="L56" s="784"/>
      <c r="M56" s="423"/>
      <c r="N56" s="531"/>
      <c r="O56" s="815"/>
      <c r="P56" s="423"/>
      <c r="Q56" s="531"/>
      <c r="R56" s="531"/>
      <c r="S56" s="423"/>
      <c r="T56" s="531"/>
      <c r="U56" s="423"/>
      <c r="V56" s="425"/>
    </row>
    <row r="57" spans="2:22" x14ac:dyDescent="0.3">
      <c r="B57" s="422"/>
      <c r="C57" s="435"/>
      <c r="D57" s="436"/>
      <c r="E57" s="508"/>
      <c r="F57" s="436"/>
      <c r="G57" s="508"/>
      <c r="H57" s="436"/>
      <c r="I57" s="436"/>
      <c r="J57" s="436"/>
      <c r="K57" s="436"/>
      <c r="L57" s="807"/>
      <c r="M57" s="508"/>
      <c r="N57" s="436"/>
      <c r="O57" s="808"/>
      <c r="P57" s="508"/>
      <c r="Q57" s="438"/>
      <c r="R57" s="436"/>
      <c r="S57" s="508"/>
      <c r="T57" s="438"/>
      <c r="U57" s="508"/>
      <c r="V57" s="425"/>
    </row>
    <row r="58" spans="2:22" x14ac:dyDescent="0.3">
      <c r="B58" s="422"/>
      <c r="C58" s="1184"/>
      <c r="D58" s="541" t="s">
        <v>552</v>
      </c>
      <c r="E58" s="1185"/>
      <c r="F58" s="887"/>
      <c r="G58" s="1186"/>
      <c r="H58" s="1187" t="s">
        <v>444</v>
      </c>
      <c r="I58" s="956"/>
      <c r="J58" s="977"/>
      <c r="K58" s="977"/>
      <c r="L58" s="1188"/>
      <c r="M58" s="1189"/>
      <c r="N58" s="1190" t="s">
        <v>445</v>
      </c>
      <c r="O58" s="1191"/>
      <c r="P58" s="1189"/>
      <c r="Q58" s="1192" t="s">
        <v>440</v>
      </c>
      <c r="R58" s="887"/>
      <c r="S58" s="1189"/>
      <c r="T58" s="1193" t="s">
        <v>446</v>
      </c>
      <c r="U58" s="1185"/>
      <c r="V58" s="425"/>
    </row>
    <row r="59" spans="2:22" x14ac:dyDescent="0.3">
      <c r="B59" s="422"/>
      <c r="C59" s="1184"/>
      <c r="D59" s="1194" t="s">
        <v>437</v>
      </c>
      <c r="E59" s="1185"/>
      <c r="F59" s="885" t="s">
        <v>438</v>
      </c>
      <c r="G59" s="1186"/>
      <c r="H59" s="885" t="s">
        <v>439</v>
      </c>
      <c r="I59" s="904" t="s">
        <v>206</v>
      </c>
      <c r="J59" s="904" t="s">
        <v>225</v>
      </c>
      <c r="K59" s="908" t="s">
        <v>140</v>
      </c>
      <c r="L59" s="1195" t="s">
        <v>224</v>
      </c>
      <c r="M59" s="1196"/>
      <c r="N59" s="885" t="s">
        <v>439</v>
      </c>
      <c r="O59" s="1197" t="s">
        <v>224</v>
      </c>
      <c r="P59" s="1196"/>
      <c r="Q59" s="885" t="s">
        <v>439</v>
      </c>
      <c r="R59" s="908" t="s">
        <v>224</v>
      </c>
      <c r="S59" s="1196"/>
      <c r="T59" s="908"/>
      <c r="U59" s="1185"/>
      <c r="V59" s="425"/>
    </row>
    <row r="60" spans="2:22" x14ac:dyDescent="0.3">
      <c r="B60" s="422"/>
      <c r="C60" s="122"/>
      <c r="D60" s="798"/>
      <c r="E60" s="443"/>
      <c r="F60" s="798"/>
      <c r="G60" s="443"/>
      <c r="H60" s="798"/>
      <c r="I60" s="389"/>
      <c r="J60" s="389"/>
      <c r="K60" s="711"/>
      <c r="L60" s="1198">
        <f>(((IF(I60="",0,VLOOKUP(I60,salaris2020,J60+1,FALSE)))*K60)*12)*(1+tab!$B$50)</f>
        <v>0</v>
      </c>
      <c r="M60" s="443"/>
      <c r="N60" s="798"/>
      <c r="O60" s="809">
        <v>0</v>
      </c>
      <c r="P60" s="443"/>
      <c r="Q60" s="799"/>
      <c r="R60" s="809">
        <v>0</v>
      </c>
      <c r="S60" s="443"/>
      <c r="T60" s="1199">
        <f t="shared" ref="T60:T66" si="4">L60+O60+R60</f>
        <v>0</v>
      </c>
      <c r="U60" s="443"/>
      <c r="V60" s="425"/>
    </row>
    <row r="61" spans="2:22" x14ac:dyDescent="0.3">
      <c r="B61" s="422"/>
      <c r="C61" s="447"/>
      <c r="D61" s="798"/>
      <c r="E61" s="450"/>
      <c r="F61" s="798"/>
      <c r="G61" s="450"/>
      <c r="H61" s="798"/>
      <c r="I61" s="389"/>
      <c r="J61" s="389"/>
      <c r="K61" s="711"/>
      <c r="L61" s="1198">
        <f>(((IF(I61="",0,VLOOKUP(I61,salaris2020,J61+1,FALSE)))*K61)*12)*(1+tab!$B$50)</f>
        <v>0</v>
      </c>
      <c r="M61" s="450"/>
      <c r="N61" s="798"/>
      <c r="O61" s="809">
        <v>0</v>
      </c>
      <c r="P61" s="450"/>
      <c r="Q61" s="800"/>
      <c r="R61" s="809">
        <v>0</v>
      </c>
      <c r="S61" s="450"/>
      <c r="T61" s="1199">
        <f t="shared" si="4"/>
        <v>0</v>
      </c>
      <c r="U61" s="450"/>
      <c r="V61" s="425"/>
    </row>
    <row r="62" spans="2:22" x14ac:dyDescent="0.3">
      <c r="B62" s="422"/>
      <c r="C62" s="447"/>
      <c r="D62" s="798"/>
      <c r="E62" s="450"/>
      <c r="F62" s="798"/>
      <c r="G62" s="450"/>
      <c r="H62" s="798"/>
      <c r="I62" s="389"/>
      <c r="J62" s="389"/>
      <c r="K62" s="711"/>
      <c r="L62" s="1198">
        <f>(((IF(I62="",0,VLOOKUP(I62,salaris2020,J62+1,FALSE)))*K62)*12)*(1+tab!$B$50)</f>
        <v>0</v>
      </c>
      <c r="M62" s="450"/>
      <c r="N62" s="798"/>
      <c r="O62" s="809">
        <v>0</v>
      </c>
      <c r="P62" s="450"/>
      <c r="Q62" s="800"/>
      <c r="R62" s="809">
        <v>0</v>
      </c>
      <c r="S62" s="450"/>
      <c r="T62" s="1199">
        <f t="shared" si="4"/>
        <v>0</v>
      </c>
      <c r="U62" s="450"/>
      <c r="V62" s="425"/>
    </row>
    <row r="63" spans="2:22" x14ac:dyDescent="0.3">
      <c r="B63" s="422"/>
      <c r="C63" s="447"/>
      <c r="D63" s="798"/>
      <c r="E63" s="450"/>
      <c r="F63" s="798"/>
      <c r="G63" s="450"/>
      <c r="H63" s="798"/>
      <c r="I63" s="389"/>
      <c r="J63" s="389"/>
      <c r="K63" s="711"/>
      <c r="L63" s="1198">
        <f>(((IF(I63="",0,VLOOKUP(I63,salaris2020,J63+1,FALSE)))*K63)*12)*(1+tab!$B$50)</f>
        <v>0</v>
      </c>
      <c r="M63" s="450"/>
      <c r="N63" s="798"/>
      <c r="O63" s="809">
        <v>0</v>
      </c>
      <c r="P63" s="450"/>
      <c r="Q63" s="800"/>
      <c r="R63" s="809">
        <v>0</v>
      </c>
      <c r="S63" s="450"/>
      <c r="T63" s="1199">
        <f t="shared" si="4"/>
        <v>0</v>
      </c>
      <c r="U63" s="450"/>
      <c r="V63" s="425"/>
    </row>
    <row r="64" spans="2:22" x14ac:dyDescent="0.3">
      <c r="B64" s="422"/>
      <c r="C64" s="447"/>
      <c r="D64" s="798"/>
      <c r="E64" s="450"/>
      <c r="F64" s="798"/>
      <c r="G64" s="450"/>
      <c r="H64" s="798"/>
      <c r="I64" s="389"/>
      <c r="J64" s="389"/>
      <c r="K64" s="711"/>
      <c r="L64" s="1198">
        <f>(((IF(I64="",0,VLOOKUP(I64,salaris2020,J64+1,FALSE)))*K64)*12)*(1+tab!$B$50)</f>
        <v>0</v>
      </c>
      <c r="M64" s="450"/>
      <c r="N64" s="798"/>
      <c r="O64" s="809">
        <v>0</v>
      </c>
      <c r="P64" s="450"/>
      <c r="Q64" s="800"/>
      <c r="R64" s="809">
        <v>0</v>
      </c>
      <c r="S64" s="450"/>
      <c r="T64" s="1199">
        <f t="shared" si="4"/>
        <v>0</v>
      </c>
      <c r="U64" s="450"/>
      <c r="V64" s="425"/>
    </row>
    <row r="65" spans="2:22" x14ac:dyDescent="0.3">
      <c r="B65" s="422"/>
      <c r="C65" s="447"/>
      <c r="D65" s="798"/>
      <c r="E65" s="450"/>
      <c r="F65" s="798"/>
      <c r="G65" s="450"/>
      <c r="H65" s="798"/>
      <c r="I65" s="389"/>
      <c r="J65" s="389"/>
      <c r="K65" s="711"/>
      <c r="L65" s="1198">
        <f>(((IF(I65="",0,VLOOKUP(I65,salaris2020,J65+1,FALSE)))*K65)*12)*(1+tab!$B$50)</f>
        <v>0</v>
      </c>
      <c r="M65" s="450"/>
      <c r="N65" s="798"/>
      <c r="O65" s="809">
        <v>0</v>
      </c>
      <c r="P65" s="450"/>
      <c r="Q65" s="800"/>
      <c r="R65" s="809">
        <v>0</v>
      </c>
      <c r="S65" s="450"/>
      <c r="T65" s="1199">
        <f t="shared" si="4"/>
        <v>0</v>
      </c>
      <c r="U65" s="450"/>
      <c r="V65" s="425"/>
    </row>
    <row r="66" spans="2:22" x14ac:dyDescent="0.3">
      <c r="B66" s="422"/>
      <c r="C66" s="810"/>
      <c r="D66" s="801"/>
      <c r="E66" s="810"/>
      <c r="F66" s="801"/>
      <c r="G66" s="810"/>
      <c r="H66" s="801"/>
      <c r="I66" s="801"/>
      <c r="J66" s="801"/>
      <c r="K66" s="801"/>
      <c r="L66" s="1200">
        <f>SUM(L60:L65)</f>
        <v>0</v>
      </c>
      <c r="M66" s="810"/>
      <c r="N66" s="801"/>
      <c r="O66" s="1201">
        <f>SUM(O60:O65)</f>
        <v>0</v>
      </c>
      <c r="P66" s="810"/>
      <c r="Q66" s="801"/>
      <c r="R66" s="1201">
        <f>SUM(R60:R65)</f>
        <v>0</v>
      </c>
      <c r="S66" s="810"/>
      <c r="T66" s="1202">
        <f t="shared" si="4"/>
        <v>0</v>
      </c>
      <c r="U66" s="810"/>
      <c r="V66" s="425"/>
    </row>
    <row r="67" spans="2:22" x14ac:dyDescent="0.3">
      <c r="B67" s="422"/>
      <c r="E67" s="441"/>
      <c r="F67" s="441"/>
      <c r="G67" s="441"/>
      <c r="H67" s="441"/>
      <c r="I67" s="441"/>
      <c r="J67" s="441"/>
      <c r="K67" s="441"/>
      <c r="L67" s="811"/>
      <c r="M67" s="441"/>
      <c r="N67" s="441"/>
      <c r="O67" s="812"/>
      <c r="P67" s="441"/>
      <c r="Q67" s="441"/>
      <c r="R67" s="441"/>
      <c r="S67" s="441"/>
      <c r="T67" s="441"/>
      <c r="U67" s="441"/>
      <c r="V67" s="425"/>
    </row>
    <row r="68" spans="2:22" x14ac:dyDescent="0.3">
      <c r="B68" s="422"/>
      <c r="C68" s="423"/>
      <c r="D68" s="530"/>
      <c r="E68" s="423"/>
      <c r="F68" s="531"/>
      <c r="G68" s="423"/>
      <c r="H68" s="531"/>
      <c r="I68" s="531"/>
      <c r="J68" s="531"/>
      <c r="K68" s="531"/>
      <c r="L68" s="784"/>
      <c r="M68" s="423"/>
      <c r="N68" s="531"/>
      <c r="O68" s="815"/>
      <c r="P68" s="423"/>
      <c r="Q68" s="531"/>
      <c r="R68" s="531"/>
      <c r="S68" s="423"/>
      <c r="T68" s="531"/>
      <c r="U68" s="423"/>
      <c r="V68" s="425"/>
    </row>
    <row r="69" spans="2:22" ht="14.4" x14ac:dyDescent="0.3">
      <c r="B69" s="452"/>
      <c r="C69" s="453"/>
      <c r="D69" s="532"/>
      <c r="E69" s="83"/>
      <c r="F69" s="533"/>
      <c r="G69" s="83"/>
      <c r="H69" s="533"/>
      <c r="I69" s="533"/>
      <c r="J69" s="533"/>
      <c r="K69" s="533"/>
      <c r="L69" s="816"/>
      <c r="M69" s="83"/>
      <c r="N69" s="533"/>
      <c r="O69" s="817"/>
      <c r="P69" s="83"/>
      <c r="Q69" s="533"/>
      <c r="R69" s="533"/>
      <c r="S69" s="83"/>
      <c r="T69" s="533"/>
      <c r="U69" s="83" t="s">
        <v>385</v>
      </c>
      <c r="V69" s="454"/>
    </row>
    <row r="70" spans="2:22" x14ac:dyDescent="0.3">
      <c r="D70" s="444"/>
      <c r="F70" s="534"/>
      <c r="H70" s="534"/>
      <c r="I70" s="534"/>
      <c r="J70" s="534"/>
      <c r="K70" s="534"/>
      <c r="L70" s="818"/>
      <c r="N70" s="534"/>
      <c r="O70" s="819"/>
      <c r="Q70" s="534"/>
      <c r="R70" s="534"/>
      <c r="T70" s="534"/>
    </row>
    <row r="71" spans="2:22" x14ac:dyDescent="0.3">
      <c r="H71" s="535"/>
      <c r="I71" s="535"/>
      <c r="J71" s="535"/>
      <c r="K71" s="535"/>
      <c r="N71" s="535"/>
    </row>
    <row r="72" spans="2:22" x14ac:dyDescent="0.3">
      <c r="H72" s="535"/>
      <c r="I72" s="535"/>
      <c r="J72" s="535"/>
      <c r="K72" s="535"/>
      <c r="N72" s="535"/>
    </row>
    <row r="73" spans="2:22" x14ac:dyDescent="0.3">
      <c r="H73" s="535"/>
      <c r="I73" s="535"/>
      <c r="J73" s="535"/>
      <c r="K73" s="535"/>
      <c r="N73" s="535"/>
    </row>
    <row r="74" spans="2:22" x14ac:dyDescent="0.3">
      <c r="H74" s="535"/>
      <c r="I74" s="535"/>
      <c r="J74" s="535"/>
      <c r="K74" s="535"/>
      <c r="N74" s="535"/>
    </row>
    <row r="75" spans="2:22" x14ac:dyDescent="0.3">
      <c r="D75" s="820"/>
      <c r="H75" s="535"/>
      <c r="I75" s="535"/>
      <c r="J75" s="535"/>
      <c r="K75" s="535"/>
      <c r="N75" s="535"/>
    </row>
    <row r="76" spans="2:22" x14ac:dyDescent="0.3">
      <c r="D76" s="820" t="s">
        <v>144</v>
      </c>
      <c r="H76" s="535"/>
      <c r="I76" s="535"/>
      <c r="J76" s="535"/>
      <c r="K76" s="535"/>
      <c r="N76" s="535"/>
    </row>
    <row r="77" spans="2:22" x14ac:dyDescent="0.3">
      <c r="D77" s="820" t="s">
        <v>145</v>
      </c>
      <c r="H77" s="535"/>
      <c r="I77" s="535"/>
      <c r="J77" s="535"/>
      <c r="K77" s="535"/>
      <c r="N77" s="535"/>
    </row>
    <row r="78" spans="2:22" x14ac:dyDescent="0.3">
      <c r="D78" s="820" t="s">
        <v>146</v>
      </c>
      <c r="H78" s="535"/>
      <c r="I78" s="535"/>
      <c r="J78" s="535"/>
      <c r="K78" s="535"/>
      <c r="N78" s="535"/>
    </row>
    <row r="79" spans="2:22" x14ac:dyDescent="0.3">
      <c r="D79" s="820" t="s">
        <v>149</v>
      </c>
      <c r="H79" s="535"/>
      <c r="I79" s="535"/>
      <c r="J79" s="535"/>
      <c r="K79" s="535"/>
      <c r="N79" s="535"/>
    </row>
    <row r="80" spans="2:22" x14ac:dyDescent="0.3">
      <c r="D80" s="820" t="s">
        <v>141</v>
      </c>
      <c r="H80" s="535"/>
      <c r="I80" s="535"/>
      <c r="J80" s="535"/>
      <c r="K80" s="535"/>
      <c r="N80" s="535"/>
    </row>
    <row r="81" spans="4:14" x14ac:dyDescent="0.3">
      <c r="D81" s="820" t="s">
        <v>142</v>
      </c>
      <c r="H81" s="535"/>
      <c r="I81" s="535"/>
      <c r="J81" s="535"/>
      <c r="K81" s="535"/>
      <c r="N81" s="535"/>
    </row>
    <row r="82" spans="4:14" x14ac:dyDescent="0.3">
      <c r="D82" s="820" t="s">
        <v>164</v>
      </c>
      <c r="H82" s="535"/>
      <c r="I82" s="535"/>
      <c r="J82" s="535"/>
      <c r="K82" s="535"/>
      <c r="N82" s="535"/>
    </row>
    <row r="83" spans="4:14" x14ac:dyDescent="0.3">
      <c r="D83" s="820" t="s">
        <v>143</v>
      </c>
      <c r="H83" s="535"/>
      <c r="I83" s="535"/>
      <c r="J83" s="535"/>
      <c r="K83" s="535"/>
      <c r="N83" s="535"/>
    </row>
    <row r="84" spans="4:14" x14ac:dyDescent="0.3">
      <c r="D84" s="820" t="s">
        <v>165</v>
      </c>
      <c r="H84" s="535"/>
      <c r="I84" s="535"/>
      <c r="J84" s="535"/>
      <c r="K84" s="535"/>
      <c r="N84" s="535"/>
    </row>
    <row r="85" spans="4:14" x14ac:dyDescent="0.3">
      <c r="D85" s="820" t="s">
        <v>147</v>
      </c>
      <c r="H85" s="535"/>
      <c r="I85" s="535"/>
      <c r="J85" s="535"/>
      <c r="K85" s="535"/>
      <c r="N85" s="535"/>
    </row>
    <row r="86" spans="4:14" x14ac:dyDescent="0.3">
      <c r="D86" s="820" t="s">
        <v>148</v>
      </c>
      <c r="H86" s="535"/>
      <c r="I86" s="535"/>
      <c r="J86" s="535"/>
      <c r="K86" s="535"/>
      <c r="N86" s="535"/>
    </row>
    <row r="87" spans="4:14" x14ac:dyDescent="0.3">
      <c r="D87" s="736" t="s">
        <v>168</v>
      </c>
      <c r="H87" s="535"/>
      <c r="I87" s="535"/>
      <c r="J87" s="535"/>
      <c r="K87" s="535"/>
      <c r="N87" s="535"/>
    </row>
    <row r="88" spans="4:14" x14ac:dyDescent="0.3">
      <c r="D88" s="736" t="s">
        <v>178</v>
      </c>
      <c r="H88" s="535"/>
      <c r="I88" s="535"/>
      <c r="J88" s="535"/>
      <c r="K88" s="535"/>
      <c r="N88" s="535"/>
    </row>
    <row r="89" spans="4:14" x14ac:dyDescent="0.3">
      <c r="D89" s="736" t="s">
        <v>169</v>
      </c>
      <c r="H89" s="535"/>
      <c r="I89" s="535"/>
      <c r="J89" s="535"/>
      <c r="K89" s="535"/>
      <c r="N89" s="535"/>
    </row>
    <row r="90" spans="4:14" x14ac:dyDescent="0.3">
      <c r="D90" s="820" t="s">
        <v>562</v>
      </c>
      <c r="H90" s="535"/>
      <c r="I90" s="535"/>
      <c r="J90" s="535"/>
      <c r="K90" s="535"/>
      <c r="N90" s="535"/>
    </row>
    <row r="91" spans="4:14" x14ac:dyDescent="0.3">
      <c r="D91" s="820" t="s">
        <v>563</v>
      </c>
      <c r="H91" s="535"/>
      <c r="I91" s="535"/>
      <c r="J91" s="535"/>
      <c r="K91" s="535"/>
      <c r="N91" s="535"/>
    </row>
    <row r="92" spans="4:14" x14ac:dyDescent="0.3">
      <c r="D92" s="820" t="s">
        <v>564</v>
      </c>
      <c r="H92" s="535"/>
      <c r="I92" s="535"/>
      <c r="J92" s="535"/>
      <c r="K92" s="535"/>
      <c r="N92" s="535"/>
    </row>
    <row r="93" spans="4:14" x14ac:dyDescent="0.3">
      <c r="D93" s="820" t="s">
        <v>565</v>
      </c>
      <c r="H93" s="535"/>
      <c r="I93" s="535"/>
      <c r="J93" s="535"/>
      <c r="K93" s="535"/>
      <c r="N93" s="535"/>
    </row>
    <row r="94" spans="4:14" x14ac:dyDescent="0.3">
      <c r="D94" s="820" t="s">
        <v>566</v>
      </c>
      <c r="H94" s="535"/>
      <c r="I94" s="535"/>
      <c r="J94" s="535"/>
      <c r="K94" s="535"/>
      <c r="N94" s="535"/>
    </row>
    <row r="95" spans="4:14" x14ac:dyDescent="0.3">
      <c r="D95" s="736" t="s">
        <v>166</v>
      </c>
      <c r="H95" s="535"/>
      <c r="I95" s="535"/>
      <c r="J95" s="535"/>
      <c r="K95" s="535"/>
      <c r="N95" s="535"/>
    </row>
    <row r="96" spans="4:14" x14ac:dyDescent="0.3">
      <c r="D96" s="736" t="s">
        <v>167</v>
      </c>
      <c r="H96" s="535"/>
      <c r="I96" s="535"/>
      <c r="J96" s="535"/>
      <c r="K96" s="535"/>
      <c r="N96" s="535"/>
    </row>
    <row r="97" spans="4:14" x14ac:dyDescent="0.3">
      <c r="D97" s="790" t="s">
        <v>313</v>
      </c>
      <c r="H97" s="535"/>
      <c r="I97" s="535"/>
      <c r="J97" s="535"/>
      <c r="K97" s="535"/>
      <c r="N97" s="535"/>
    </row>
    <row r="98" spans="4:14" x14ac:dyDescent="0.3">
      <c r="D98" s="790" t="s">
        <v>308</v>
      </c>
      <c r="H98" s="535"/>
      <c r="I98" s="535"/>
      <c r="J98" s="535"/>
      <c r="K98" s="535"/>
      <c r="N98" s="535"/>
    </row>
    <row r="99" spans="4:14" x14ac:dyDescent="0.3">
      <c r="D99" s="790" t="s">
        <v>309</v>
      </c>
      <c r="H99" s="535"/>
      <c r="I99" s="535"/>
      <c r="J99" s="535"/>
      <c r="K99" s="535"/>
      <c r="N99" s="535"/>
    </row>
    <row r="100" spans="4:14" x14ac:dyDescent="0.3">
      <c r="D100" s="790" t="s">
        <v>311</v>
      </c>
      <c r="H100" s="535"/>
      <c r="I100" s="535"/>
      <c r="J100" s="535"/>
      <c r="K100" s="535"/>
      <c r="N100" s="535"/>
    </row>
    <row r="101" spans="4:14" x14ac:dyDescent="0.3">
      <c r="D101" s="790" t="s">
        <v>310</v>
      </c>
      <c r="H101" s="535"/>
      <c r="I101" s="535"/>
      <c r="J101" s="535"/>
      <c r="K101" s="535"/>
      <c r="N101" s="535"/>
    </row>
    <row r="102" spans="4:14" x14ac:dyDescent="0.3">
      <c r="D102" s="736">
        <v>1</v>
      </c>
      <c r="H102" s="535"/>
      <c r="I102" s="535"/>
      <c r="J102" s="535"/>
      <c r="K102" s="535"/>
      <c r="N102" s="535"/>
    </row>
    <row r="103" spans="4:14" x14ac:dyDescent="0.3">
      <c r="D103" s="736">
        <v>2</v>
      </c>
      <c r="H103" s="535"/>
      <c r="I103" s="535"/>
      <c r="J103" s="535"/>
      <c r="K103" s="535"/>
      <c r="N103" s="535"/>
    </row>
    <row r="104" spans="4:14" x14ac:dyDescent="0.3">
      <c r="D104" s="736">
        <v>3</v>
      </c>
      <c r="H104" s="535"/>
      <c r="I104" s="535"/>
      <c r="J104" s="535"/>
      <c r="K104" s="535"/>
      <c r="N104" s="535"/>
    </row>
    <row r="105" spans="4:14" x14ac:dyDescent="0.3">
      <c r="D105" s="736">
        <v>4</v>
      </c>
      <c r="H105" s="535"/>
      <c r="I105" s="535"/>
      <c r="J105" s="535"/>
      <c r="K105" s="535"/>
      <c r="N105" s="535"/>
    </row>
    <row r="106" spans="4:14" x14ac:dyDescent="0.3">
      <c r="D106" s="736">
        <v>5</v>
      </c>
      <c r="H106" s="535"/>
      <c r="I106" s="535"/>
      <c r="J106" s="535"/>
      <c r="K106" s="535"/>
      <c r="N106" s="535"/>
    </row>
    <row r="107" spans="4:14" x14ac:dyDescent="0.3">
      <c r="D107" s="736">
        <v>6</v>
      </c>
      <c r="H107" s="535"/>
      <c r="I107" s="535"/>
      <c r="J107" s="535"/>
      <c r="K107" s="535"/>
      <c r="N107" s="535"/>
    </row>
    <row r="108" spans="4:14" x14ac:dyDescent="0.3">
      <c r="D108" s="736">
        <v>7</v>
      </c>
      <c r="H108" s="535"/>
      <c r="I108" s="535"/>
      <c r="J108" s="535"/>
      <c r="K108" s="535"/>
      <c r="N108" s="535"/>
    </row>
    <row r="109" spans="4:14" x14ac:dyDescent="0.3">
      <c r="D109" s="736">
        <v>8</v>
      </c>
      <c r="H109" s="535"/>
      <c r="I109" s="535"/>
      <c r="J109" s="535"/>
      <c r="K109" s="535"/>
      <c r="N109" s="535"/>
    </row>
    <row r="110" spans="4:14" x14ac:dyDescent="0.3">
      <c r="D110" s="736">
        <v>9</v>
      </c>
      <c r="H110" s="535"/>
      <c r="I110" s="535"/>
      <c r="J110" s="535"/>
      <c r="K110" s="535"/>
      <c r="N110" s="535"/>
    </row>
    <row r="111" spans="4:14" x14ac:dyDescent="0.3">
      <c r="D111" s="736">
        <v>10</v>
      </c>
      <c r="H111" s="535"/>
      <c r="I111" s="535"/>
      <c r="J111" s="535"/>
      <c r="K111" s="535"/>
      <c r="N111" s="535"/>
    </row>
    <row r="112" spans="4:14" x14ac:dyDescent="0.3">
      <c r="D112" s="736">
        <v>11</v>
      </c>
      <c r="H112" s="535"/>
      <c r="I112" s="535"/>
      <c r="J112" s="535"/>
      <c r="K112" s="535"/>
      <c r="N112" s="535"/>
    </row>
    <row r="113" spans="4:14" x14ac:dyDescent="0.3">
      <c r="D113" s="736">
        <v>12</v>
      </c>
      <c r="H113" s="535"/>
      <c r="I113" s="535"/>
      <c r="J113" s="535"/>
      <c r="K113" s="535"/>
      <c r="N113" s="535"/>
    </row>
    <row r="114" spans="4:14" x14ac:dyDescent="0.3">
      <c r="D114" s="736">
        <v>13</v>
      </c>
      <c r="H114" s="535"/>
      <c r="I114" s="535"/>
      <c r="J114" s="535"/>
      <c r="K114" s="535"/>
      <c r="N114" s="535"/>
    </row>
    <row r="115" spans="4:14" x14ac:dyDescent="0.3">
      <c r="D115" s="736">
        <v>14</v>
      </c>
      <c r="H115" s="535"/>
      <c r="I115" s="535"/>
      <c r="J115" s="535"/>
      <c r="K115" s="535"/>
      <c r="N115" s="535"/>
    </row>
    <row r="116" spans="4:14" x14ac:dyDescent="0.3">
      <c r="D116" s="736">
        <v>15</v>
      </c>
      <c r="H116" s="535"/>
      <c r="I116" s="535"/>
      <c r="J116" s="535"/>
      <c r="K116" s="535"/>
      <c r="N116" s="535"/>
    </row>
    <row r="117" spans="4:14" x14ac:dyDescent="0.3">
      <c r="D117" s="736">
        <v>16</v>
      </c>
      <c r="H117" s="535"/>
      <c r="I117" s="535"/>
      <c r="J117" s="535"/>
      <c r="K117" s="535"/>
      <c r="N117" s="535"/>
    </row>
    <row r="118" spans="4:14" x14ac:dyDescent="0.3">
      <c r="H118" s="535"/>
      <c r="I118" s="535"/>
      <c r="J118" s="535"/>
      <c r="K118" s="535"/>
      <c r="N118" s="535"/>
    </row>
    <row r="119" spans="4:14" x14ac:dyDescent="0.3">
      <c r="H119" s="535"/>
      <c r="I119" s="535"/>
      <c r="J119" s="535"/>
      <c r="K119" s="535"/>
      <c r="N119" s="535"/>
    </row>
    <row r="120" spans="4:14" x14ac:dyDescent="0.3">
      <c r="H120" s="535"/>
      <c r="I120" s="535"/>
      <c r="J120" s="535"/>
      <c r="K120" s="535"/>
      <c r="N120" s="535"/>
    </row>
    <row r="121" spans="4:14" x14ac:dyDescent="0.3">
      <c r="H121" s="535"/>
      <c r="I121" s="535"/>
      <c r="J121" s="535"/>
      <c r="K121" s="535"/>
      <c r="N121" s="535"/>
    </row>
    <row r="122" spans="4:14" x14ac:dyDescent="0.3">
      <c r="H122" s="535"/>
      <c r="I122" s="535"/>
      <c r="J122" s="535"/>
      <c r="K122" s="535"/>
      <c r="N122" s="535"/>
    </row>
  </sheetData>
  <sheetProtection algorithmName="SHA-512" hashValue="H4RkojcriZAcMzAWme/GQechnyynBcG2CAHEmO7QAWYY1xnmBTBUQPfLtiB0sJLbXgLMvtlAeYWdTgDW71poJw==" saltValue="LzfyspGXCnb8KGrbVuqFTQ==" spinCount="100000" sheet="1" objects="1" scenarios="1"/>
  <dataValidations count="1">
    <dataValidation type="list" allowBlank="1" showInputMessage="1" showErrorMessage="1" sqref="I36:I41 I60:I65 I48:I53 I12:I17 I24:I29" xr:uid="{00000000-0002-0000-0A00-000000000000}">
      <formula1>$D$75:$D$117</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dimension ref="B1:N108"/>
  <sheetViews>
    <sheetView showGridLines="0" zoomScale="85" zoomScaleNormal="85" zoomScaleSheetLayoutView="75" workbookViewId="0">
      <pane ySplit="9" topLeftCell="A19" activePane="bottomLeft" state="frozen"/>
      <selection activeCell="A4" sqref="A4:XFD4"/>
      <selection pane="bottomLeft" activeCell="L14" sqref="L14"/>
    </sheetView>
  </sheetViews>
  <sheetFormatPr defaultColWidth="9.109375" defaultRowHeight="13.8" x14ac:dyDescent="0.3"/>
  <cols>
    <col min="1" max="1" width="3.6640625" style="410" customWidth="1"/>
    <col min="2" max="3" width="2.6640625" style="410" customWidth="1"/>
    <col min="4" max="4" width="40.6640625" style="410" customWidth="1"/>
    <col min="5" max="5" width="2.6640625" style="410" customWidth="1"/>
    <col min="6" max="12" width="14.88671875" style="410" customWidth="1"/>
    <col min="13" max="13" width="2.6640625" style="410" customWidth="1"/>
    <col min="14" max="14" width="15.44140625" style="410" customWidth="1"/>
    <col min="15" max="16" width="5.6640625" style="410" customWidth="1"/>
    <col min="17" max="16384" width="9.109375" style="410"/>
  </cols>
  <sheetData>
    <row r="1" spans="2:14" ht="12.75" customHeight="1" x14ac:dyDescent="0.3"/>
    <row r="2" spans="2:14" x14ac:dyDescent="0.3">
      <c r="B2" s="418"/>
      <c r="C2" s="419"/>
      <c r="D2" s="419"/>
      <c r="E2" s="419"/>
      <c r="F2" s="419"/>
      <c r="G2" s="419"/>
      <c r="H2" s="419"/>
      <c r="I2" s="419"/>
      <c r="J2" s="419"/>
      <c r="K2" s="419"/>
      <c r="L2" s="419"/>
      <c r="M2" s="421"/>
    </row>
    <row r="3" spans="2:14" x14ac:dyDescent="0.3">
      <c r="B3" s="422"/>
      <c r="C3" s="423"/>
      <c r="D3" s="423"/>
      <c r="E3" s="423"/>
      <c r="F3" s="423"/>
      <c r="G3" s="423"/>
      <c r="H3" s="423"/>
      <c r="I3" s="423"/>
      <c r="J3" s="423"/>
      <c r="K3" s="423"/>
      <c r="L3" s="423"/>
      <c r="M3" s="425"/>
    </row>
    <row r="4" spans="2:14" s="129" customFormat="1" ht="18" x14ac:dyDescent="0.35">
      <c r="B4" s="849"/>
      <c r="C4" s="834" t="s">
        <v>122</v>
      </c>
      <c r="D4" s="834"/>
      <c r="E4" s="130"/>
      <c r="F4" s="500"/>
      <c r="G4" s="500"/>
      <c r="H4" s="130"/>
      <c r="I4" s="130"/>
      <c r="J4" s="130"/>
      <c r="K4" s="130"/>
      <c r="L4" s="130"/>
      <c r="M4" s="135"/>
    </row>
    <row r="5" spans="2:14" ht="18" x14ac:dyDescent="0.35">
      <c r="B5" s="66"/>
      <c r="C5" s="68" t="str">
        <f>geg!F11</f>
        <v>Voorbeeldschool</v>
      </c>
      <c r="D5" s="430"/>
      <c r="E5" s="423"/>
      <c r="F5" s="501"/>
      <c r="G5" s="501"/>
      <c r="H5" s="423"/>
      <c r="I5" s="423"/>
      <c r="J5" s="423"/>
      <c r="K5" s="423"/>
      <c r="L5" s="423"/>
      <c r="M5" s="425"/>
    </row>
    <row r="6" spans="2:14" x14ac:dyDescent="0.3">
      <c r="B6" s="422"/>
      <c r="C6" s="423"/>
      <c r="D6" s="423"/>
      <c r="E6" s="423"/>
      <c r="F6" s="423"/>
      <c r="G6" s="423"/>
      <c r="H6" s="423"/>
      <c r="I6" s="423"/>
      <c r="J6" s="423"/>
      <c r="K6" s="423"/>
      <c r="L6" s="423"/>
      <c r="M6" s="425"/>
    </row>
    <row r="7" spans="2:14" x14ac:dyDescent="0.3">
      <c r="B7" s="422"/>
      <c r="C7" s="423"/>
      <c r="D7" s="423"/>
      <c r="E7" s="423"/>
      <c r="F7" s="423"/>
      <c r="G7" s="423"/>
      <c r="H7" s="423"/>
      <c r="I7" s="423"/>
      <c r="J7" s="423"/>
      <c r="K7" s="423"/>
      <c r="L7" s="423"/>
      <c r="M7" s="425"/>
    </row>
    <row r="8" spans="2:14" s="129" customFormat="1" x14ac:dyDescent="0.3">
      <c r="B8" s="134"/>
      <c r="C8" s="130"/>
      <c r="D8" s="502"/>
      <c r="E8" s="456"/>
      <c r="F8" s="871">
        <f>tab!B4</f>
        <v>2020</v>
      </c>
      <c r="G8" s="871">
        <f>tab!C4</f>
        <v>2021</v>
      </c>
      <c r="H8" s="871">
        <f>tab!D4</f>
        <v>2022</v>
      </c>
      <c r="I8" s="871">
        <f>tab!E4</f>
        <v>2023</v>
      </c>
      <c r="J8" s="871">
        <f>tab!F4</f>
        <v>2024</v>
      </c>
      <c r="K8" s="871">
        <f>tab!G4</f>
        <v>2025</v>
      </c>
      <c r="L8" s="871">
        <f>tab!H4</f>
        <v>2026</v>
      </c>
      <c r="M8" s="503"/>
      <c r="N8" s="504"/>
    </row>
    <row r="9" spans="2:14" x14ac:dyDescent="0.3">
      <c r="B9" s="422"/>
      <c r="C9" s="423"/>
      <c r="D9" s="423"/>
      <c r="E9" s="196"/>
      <c r="F9" s="423"/>
      <c r="G9" s="423"/>
      <c r="H9" s="423"/>
      <c r="I9" s="423"/>
      <c r="J9" s="423"/>
      <c r="K9" s="423"/>
      <c r="L9" s="423"/>
      <c r="M9" s="506"/>
      <c r="N9" s="507"/>
    </row>
    <row r="10" spans="2:14" x14ac:dyDescent="0.3">
      <c r="B10" s="422"/>
      <c r="C10" s="122"/>
      <c r="D10" s="123"/>
      <c r="E10" s="208"/>
      <c r="F10" s="123"/>
      <c r="G10" s="123"/>
      <c r="H10" s="123"/>
      <c r="I10" s="123"/>
      <c r="J10" s="123"/>
      <c r="K10" s="123"/>
      <c r="L10" s="123"/>
      <c r="M10" s="506"/>
      <c r="N10" s="507"/>
    </row>
    <row r="11" spans="2:14" x14ac:dyDescent="0.3">
      <c r="B11" s="422"/>
      <c r="C11" s="122"/>
      <c r="D11" s="872" t="s">
        <v>386</v>
      </c>
      <c r="E11" s="208"/>
      <c r="F11" s="123"/>
      <c r="G11" s="123"/>
      <c r="H11" s="123"/>
      <c r="I11" s="123"/>
      <c r="J11" s="123"/>
      <c r="K11" s="123"/>
      <c r="L11" s="123"/>
      <c r="M11" s="506"/>
      <c r="N11" s="507"/>
    </row>
    <row r="12" spans="2:14" x14ac:dyDescent="0.3">
      <c r="B12" s="422"/>
      <c r="C12" s="122"/>
      <c r="D12" s="873"/>
      <c r="E12" s="208"/>
      <c r="F12" s="123"/>
      <c r="G12" s="123"/>
      <c r="H12" s="123"/>
      <c r="I12" s="123"/>
      <c r="J12" s="123"/>
      <c r="K12" s="123"/>
      <c r="L12" s="123"/>
      <c r="M12" s="506"/>
      <c r="N12" s="507"/>
    </row>
    <row r="13" spans="2:14" x14ac:dyDescent="0.3">
      <c r="B13" s="422"/>
      <c r="C13" s="122"/>
      <c r="D13" s="123" t="s">
        <v>123</v>
      </c>
      <c r="E13" s="208"/>
      <c r="F13" s="123"/>
      <c r="G13" s="123"/>
      <c r="H13" s="123"/>
      <c r="I13" s="123"/>
      <c r="J13" s="123"/>
      <c r="K13" s="123"/>
      <c r="L13" s="123"/>
      <c r="M13" s="506"/>
      <c r="N13" s="507"/>
    </row>
    <row r="14" spans="2:14" x14ac:dyDescent="0.3">
      <c r="B14" s="422"/>
      <c r="C14" s="122"/>
      <c r="D14" s="472" t="s">
        <v>405</v>
      </c>
      <c r="E14" s="123"/>
      <c r="F14" s="823">
        <v>0</v>
      </c>
      <c r="G14" s="844">
        <f>pers!I153+mat!I58</f>
        <v>1855114.1452593335</v>
      </c>
      <c r="H14" s="844">
        <f>pers!J153+mat!J58</f>
        <v>1707225.2481840667</v>
      </c>
      <c r="I14" s="844">
        <f>pers!K153+mat!K58</f>
        <v>1652564.9736050002</v>
      </c>
      <c r="J14" s="844">
        <f>pers!L153+mat!L58</f>
        <v>1664523.2045449999</v>
      </c>
      <c r="K14" s="844">
        <f>pers!M153+mat!M58</f>
        <v>1676481.4354849998</v>
      </c>
      <c r="L14" s="844">
        <f>pers!N153+mat!N58</f>
        <v>1680829.0701999997</v>
      </c>
      <c r="M14" s="425"/>
    </row>
    <row r="15" spans="2:14" ht="12" customHeight="1" x14ac:dyDescent="0.3">
      <c r="B15" s="422"/>
      <c r="C15" s="122"/>
      <c r="D15" s="472" t="s">
        <v>406</v>
      </c>
      <c r="E15" s="123"/>
      <c r="F15" s="823">
        <v>0</v>
      </c>
      <c r="G15" s="1012">
        <f>pers!I154+mat!I70</f>
        <v>0</v>
      </c>
      <c r="H15" s="1012">
        <f>pers!J154+mat!J70</f>
        <v>0</v>
      </c>
      <c r="I15" s="1012">
        <f>pers!K154+mat!K70</f>
        <v>0</v>
      </c>
      <c r="J15" s="1012">
        <f>pers!L154+mat!L70</f>
        <v>0</v>
      </c>
      <c r="K15" s="1012">
        <f>pers!M154+mat!M70</f>
        <v>0</v>
      </c>
      <c r="L15" s="1012">
        <f>pers!N154+mat!N70</f>
        <v>0</v>
      </c>
      <c r="M15" s="425"/>
    </row>
    <row r="16" spans="2:14" ht="12" customHeight="1" x14ac:dyDescent="0.3">
      <c r="B16" s="422"/>
      <c r="C16" s="122"/>
      <c r="D16" s="472" t="s">
        <v>407</v>
      </c>
      <c r="E16" s="123"/>
      <c r="F16" s="823">
        <v>0</v>
      </c>
      <c r="G16" s="844">
        <v>0</v>
      </c>
      <c r="H16" s="844">
        <v>0</v>
      </c>
      <c r="I16" s="844">
        <v>0</v>
      </c>
      <c r="J16" s="844">
        <v>0</v>
      </c>
      <c r="K16" s="844">
        <v>0</v>
      </c>
      <c r="L16" s="844">
        <v>0</v>
      </c>
      <c r="M16" s="425"/>
    </row>
    <row r="17" spans="2:13" ht="12" customHeight="1" x14ac:dyDescent="0.3">
      <c r="B17" s="422"/>
      <c r="C17" s="122"/>
      <c r="D17" s="472" t="s">
        <v>408</v>
      </c>
      <c r="E17" s="123"/>
      <c r="F17" s="823">
        <v>0</v>
      </c>
      <c r="G17" s="844">
        <f>pers!I155+mat!I82</f>
        <v>0</v>
      </c>
      <c r="H17" s="844">
        <f>pers!J155+mat!J82</f>
        <v>0</v>
      </c>
      <c r="I17" s="844">
        <f>pers!K155+mat!K82</f>
        <v>0</v>
      </c>
      <c r="J17" s="844">
        <f>pers!L155+mat!L82</f>
        <v>0</v>
      </c>
      <c r="K17" s="844">
        <f>pers!M155+mat!M82</f>
        <v>0</v>
      </c>
      <c r="L17" s="844">
        <f>pers!N155+mat!N82</f>
        <v>0</v>
      </c>
      <c r="M17" s="425"/>
    </row>
    <row r="18" spans="2:13" ht="12" customHeight="1" x14ac:dyDescent="0.3">
      <c r="B18" s="422"/>
      <c r="C18" s="122"/>
      <c r="D18" s="472" t="s">
        <v>409</v>
      </c>
      <c r="E18" s="123"/>
      <c r="F18" s="823">
        <v>0</v>
      </c>
      <c r="G18" s="844">
        <f>pers!I158+mat!I90-mat!I82</f>
        <v>0</v>
      </c>
      <c r="H18" s="844">
        <f>pers!J158+mat!J90-mat!J82</f>
        <v>0</v>
      </c>
      <c r="I18" s="844">
        <f>pers!K158+mat!K90-mat!K82</f>
        <v>0</v>
      </c>
      <c r="J18" s="844">
        <f>pers!L158+mat!L90-mat!L82</f>
        <v>0</v>
      </c>
      <c r="K18" s="844">
        <f>pers!M158+mat!M90-mat!M82</f>
        <v>0</v>
      </c>
      <c r="L18" s="844">
        <f>pers!N158+mat!N90-mat!N82</f>
        <v>0</v>
      </c>
      <c r="M18" s="425"/>
    </row>
    <row r="19" spans="2:13" x14ac:dyDescent="0.3">
      <c r="B19" s="422"/>
      <c r="C19" s="122"/>
      <c r="D19" s="476"/>
      <c r="E19" s="487"/>
      <c r="F19" s="896">
        <f t="shared" ref="F19:J19" si="0">SUM(F14:F18)</f>
        <v>0</v>
      </c>
      <c r="G19" s="896">
        <f t="shared" si="0"/>
        <v>1855114.1452593335</v>
      </c>
      <c r="H19" s="896">
        <f t="shared" si="0"/>
        <v>1707225.2481840667</v>
      </c>
      <c r="I19" s="896">
        <f t="shared" si="0"/>
        <v>1652564.9736050002</v>
      </c>
      <c r="J19" s="896">
        <f t="shared" si="0"/>
        <v>1664523.2045449999</v>
      </c>
      <c r="K19" s="896">
        <f t="shared" ref="K19:L19" si="1">SUM(K14:K18)</f>
        <v>1676481.4354849998</v>
      </c>
      <c r="L19" s="896">
        <f t="shared" si="1"/>
        <v>1680829.0701999997</v>
      </c>
      <c r="M19" s="425"/>
    </row>
    <row r="20" spans="2:13" x14ac:dyDescent="0.3">
      <c r="B20" s="509"/>
      <c r="C20" s="510"/>
      <c r="D20" s="123" t="s">
        <v>53</v>
      </c>
      <c r="E20" s="487"/>
      <c r="F20" s="511"/>
      <c r="G20" s="511"/>
      <c r="H20" s="511"/>
      <c r="I20" s="511"/>
      <c r="J20" s="511"/>
      <c r="K20" s="511"/>
      <c r="L20" s="511"/>
      <c r="M20" s="425"/>
    </row>
    <row r="21" spans="2:13" x14ac:dyDescent="0.3">
      <c r="B21" s="422"/>
      <c r="C21" s="122"/>
      <c r="D21" s="525" t="s">
        <v>13</v>
      </c>
      <c r="E21" s="482"/>
      <c r="F21" s="1248">
        <v>0</v>
      </c>
      <c r="G21" s="761">
        <f>pers!I163</f>
        <v>197874.85091259796</v>
      </c>
      <c r="H21" s="761">
        <f>pers!J163</f>
        <v>207937.34532851118</v>
      </c>
      <c r="I21" s="761">
        <f>pers!K163</f>
        <v>214767.81916817365</v>
      </c>
      <c r="J21" s="761">
        <f>pers!L163</f>
        <v>220906.10198915013</v>
      </c>
      <c r="K21" s="761">
        <f>pers!M163</f>
        <v>227046.89692585898</v>
      </c>
      <c r="L21" s="761">
        <f>pers!N163</f>
        <v>231610.73273056059</v>
      </c>
      <c r="M21" s="425"/>
    </row>
    <row r="22" spans="2:13" x14ac:dyDescent="0.3">
      <c r="B22" s="422"/>
      <c r="C22" s="122"/>
      <c r="D22" s="760" t="s">
        <v>94</v>
      </c>
      <c r="E22" s="482"/>
      <c r="F22" s="1248">
        <v>0</v>
      </c>
      <c r="G22" s="761">
        <f>pers!I164</f>
        <v>7929.17</v>
      </c>
      <c r="H22" s="761">
        <f>pers!J164</f>
        <v>0</v>
      </c>
      <c r="I22" s="761">
        <f>pers!K164</f>
        <v>0</v>
      </c>
      <c r="J22" s="761">
        <f>pers!L164</f>
        <v>0</v>
      </c>
      <c r="K22" s="761">
        <f>pers!M164</f>
        <v>0</v>
      </c>
      <c r="L22" s="761">
        <f>pers!N164</f>
        <v>0</v>
      </c>
      <c r="M22" s="425"/>
    </row>
    <row r="23" spans="2:13" x14ac:dyDescent="0.3">
      <c r="B23" s="422"/>
      <c r="C23" s="122"/>
      <c r="D23" s="512" t="s">
        <v>410</v>
      </c>
      <c r="E23" s="482"/>
      <c r="F23" s="823">
        <v>0</v>
      </c>
      <c r="G23" s="1012">
        <f t="shared" ref="G23:L23" si="2">SUM(G21:G22)</f>
        <v>205804.02091259797</v>
      </c>
      <c r="H23" s="1012">
        <f t="shared" si="2"/>
        <v>207937.34532851118</v>
      </c>
      <c r="I23" s="1012">
        <f t="shared" si="2"/>
        <v>214767.81916817365</v>
      </c>
      <c r="J23" s="1012">
        <f t="shared" si="2"/>
        <v>220906.10198915013</v>
      </c>
      <c r="K23" s="1012">
        <f t="shared" si="2"/>
        <v>227046.89692585898</v>
      </c>
      <c r="L23" s="1012">
        <f t="shared" si="2"/>
        <v>231610.73273056059</v>
      </c>
      <c r="M23" s="425"/>
    </row>
    <row r="24" spans="2:13" x14ac:dyDescent="0.3">
      <c r="B24" s="422"/>
      <c r="C24" s="122"/>
      <c r="D24" s="123" t="s">
        <v>411</v>
      </c>
      <c r="E24" s="123"/>
      <c r="F24" s="1012">
        <f>act!F42</f>
        <v>43750</v>
      </c>
      <c r="G24" s="1012">
        <f>act!G42</f>
        <v>43750</v>
      </c>
      <c r="H24" s="1012">
        <f>act!H42</f>
        <v>43750</v>
      </c>
      <c r="I24" s="1012">
        <f>act!I42</f>
        <v>87500</v>
      </c>
      <c r="J24" s="1012">
        <f>act!J42</f>
        <v>43750</v>
      </c>
      <c r="K24" s="1012">
        <f>act!K42</f>
        <v>43750</v>
      </c>
      <c r="L24" s="1012">
        <f>act!L42</f>
        <v>43750</v>
      </c>
      <c r="M24" s="425"/>
    </row>
    <row r="25" spans="2:13" x14ac:dyDescent="0.3">
      <c r="B25" s="422"/>
      <c r="C25" s="122"/>
      <c r="D25" s="123" t="s">
        <v>412</v>
      </c>
      <c r="E25" s="123"/>
      <c r="F25" s="1012">
        <f>mat!H130</f>
        <v>0</v>
      </c>
      <c r="G25" s="1012">
        <f>mat!I130</f>
        <v>0</v>
      </c>
      <c r="H25" s="1012">
        <f>mat!J130</f>
        <v>0</v>
      </c>
      <c r="I25" s="1012">
        <f>mat!K130</f>
        <v>0</v>
      </c>
      <c r="J25" s="1012">
        <f>mat!L130</f>
        <v>0</v>
      </c>
      <c r="K25" s="1012">
        <f>mat!M130</f>
        <v>0</v>
      </c>
      <c r="L25" s="1012">
        <f>mat!N130</f>
        <v>0</v>
      </c>
      <c r="M25" s="425"/>
    </row>
    <row r="26" spans="2:13" x14ac:dyDescent="0.3">
      <c r="B26" s="422"/>
      <c r="C26" s="122"/>
      <c r="D26" s="123" t="s">
        <v>413</v>
      </c>
      <c r="E26" s="123"/>
      <c r="F26" s="844">
        <f>mat!H172</f>
        <v>0</v>
      </c>
      <c r="G26" s="844">
        <f>mat!I172</f>
        <v>0</v>
      </c>
      <c r="H26" s="844">
        <f>mat!J172</f>
        <v>0</v>
      </c>
      <c r="I26" s="844">
        <f>mat!K172</f>
        <v>0</v>
      </c>
      <c r="J26" s="844">
        <f>mat!L172</f>
        <v>0</v>
      </c>
      <c r="K26" s="844">
        <f>mat!M172</f>
        <v>0</v>
      </c>
      <c r="L26" s="844">
        <f>mat!N172</f>
        <v>0</v>
      </c>
      <c r="M26" s="425"/>
    </row>
    <row r="27" spans="2:13" x14ac:dyDescent="0.3">
      <c r="B27" s="422"/>
      <c r="C27" s="122"/>
      <c r="D27" s="476"/>
      <c r="E27" s="123"/>
      <c r="F27" s="896">
        <f t="shared" ref="F27:J27" si="3">SUM(F23:F26)</f>
        <v>43750</v>
      </c>
      <c r="G27" s="896">
        <f t="shared" si="3"/>
        <v>249554.02091259797</v>
      </c>
      <c r="H27" s="896">
        <f t="shared" si="3"/>
        <v>251687.34532851118</v>
      </c>
      <c r="I27" s="896">
        <f t="shared" si="3"/>
        <v>302267.81916817365</v>
      </c>
      <c r="J27" s="896">
        <f t="shared" si="3"/>
        <v>264656.10198915016</v>
      </c>
      <c r="K27" s="896">
        <f t="shared" ref="K27:L27" si="4">SUM(K23:K26)</f>
        <v>270796.89692585898</v>
      </c>
      <c r="L27" s="896">
        <f t="shared" si="4"/>
        <v>275360.73273056059</v>
      </c>
      <c r="M27" s="425"/>
    </row>
    <row r="28" spans="2:13" x14ac:dyDescent="0.3">
      <c r="B28" s="422"/>
      <c r="C28" s="122"/>
      <c r="D28" s="513"/>
      <c r="E28" s="482"/>
      <c r="F28" s="514"/>
      <c r="G28" s="514"/>
      <c r="H28" s="514"/>
      <c r="I28" s="514"/>
      <c r="J28" s="514"/>
      <c r="K28" s="514"/>
      <c r="L28" s="514"/>
      <c r="M28" s="425"/>
    </row>
    <row r="29" spans="2:13" x14ac:dyDescent="0.3">
      <c r="B29" s="485"/>
      <c r="C29" s="486"/>
      <c r="D29" s="476" t="s">
        <v>124</v>
      </c>
      <c r="E29" s="482"/>
      <c r="F29" s="893">
        <f t="shared" ref="F29:J29" si="5">F19-F27</f>
        <v>-43750</v>
      </c>
      <c r="G29" s="893">
        <f t="shared" si="5"/>
        <v>1605560.1243467357</v>
      </c>
      <c r="H29" s="893">
        <f t="shared" si="5"/>
        <v>1455537.9028555555</v>
      </c>
      <c r="I29" s="893">
        <f t="shared" si="5"/>
        <v>1350297.1544368265</v>
      </c>
      <c r="J29" s="893">
        <f t="shared" si="5"/>
        <v>1399867.1025558496</v>
      </c>
      <c r="K29" s="893">
        <f t="shared" ref="K29:L29" si="6">K19-K27</f>
        <v>1405684.5385591409</v>
      </c>
      <c r="L29" s="893">
        <f t="shared" si="6"/>
        <v>1405468.337469439</v>
      </c>
      <c r="M29" s="425"/>
    </row>
    <row r="30" spans="2:13" x14ac:dyDescent="0.3">
      <c r="B30" s="422"/>
      <c r="C30" s="447"/>
      <c r="D30" s="515"/>
      <c r="E30" s="516"/>
      <c r="F30" s="517"/>
      <c r="G30" s="517"/>
      <c r="H30" s="517"/>
      <c r="I30" s="517"/>
      <c r="J30" s="517"/>
      <c r="K30" s="517"/>
      <c r="L30" s="517"/>
      <c r="M30" s="425"/>
    </row>
    <row r="31" spans="2:13" x14ac:dyDescent="0.3">
      <c r="B31" s="422"/>
      <c r="C31" s="423"/>
      <c r="D31" s="518"/>
      <c r="E31" s="519"/>
      <c r="F31" s="520"/>
      <c r="G31" s="520"/>
      <c r="H31" s="520"/>
      <c r="I31" s="520"/>
      <c r="J31" s="520"/>
      <c r="K31" s="520"/>
      <c r="L31" s="520"/>
      <c r="M31" s="425"/>
    </row>
    <row r="32" spans="2:13" x14ac:dyDescent="0.3">
      <c r="B32" s="422"/>
      <c r="C32" s="435"/>
      <c r="D32" s="521"/>
      <c r="E32" s="522"/>
      <c r="F32" s="523"/>
      <c r="G32" s="523"/>
      <c r="H32" s="523"/>
      <c r="I32" s="523"/>
      <c r="J32" s="523"/>
      <c r="K32" s="523"/>
      <c r="L32" s="523"/>
      <c r="M32" s="425"/>
    </row>
    <row r="33" spans="2:13" x14ac:dyDescent="0.3">
      <c r="B33" s="422"/>
      <c r="C33" s="122"/>
      <c r="D33" s="882" t="s">
        <v>386</v>
      </c>
      <c r="E33" s="482"/>
      <c r="F33" s="524"/>
      <c r="G33" s="524"/>
      <c r="H33" s="524"/>
      <c r="I33" s="524"/>
      <c r="J33" s="524"/>
      <c r="K33" s="524"/>
      <c r="L33" s="524"/>
      <c r="M33" s="425"/>
    </row>
    <row r="34" spans="2:13" x14ac:dyDescent="0.3">
      <c r="B34" s="422"/>
      <c r="C34" s="122"/>
      <c r="D34" s="525"/>
      <c r="E34" s="482"/>
      <c r="F34" s="524"/>
      <c r="G34" s="524"/>
      <c r="H34" s="524"/>
      <c r="I34" s="524"/>
      <c r="J34" s="524"/>
      <c r="K34" s="524"/>
      <c r="L34" s="524"/>
      <c r="M34" s="425"/>
    </row>
    <row r="35" spans="2:13" x14ac:dyDescent="0.3">
      <c r="B35" s="422"/>
      <c r="C35" s="122"/>
      <c r="D35" s="472" t="s">
        <v>414</v>
      </c>
      <c r="E35" s="482"/>
      <c r="F35" s="526">
        <v>0</v>
      </c>
      <c r="G35" s="526">
        <v>0</v>
      </c>
      <c r="H35" s="526">
        <v>0</v>
      </c>
      <c r="I35" s="526">
        <v>0</v>
      </c>
      <c r="J35" s="526">
        <v>0</v>
      </c>
      <c r="K35" s="526">
        <v>0</v>
      </c>
      <c r="L35" s="526">
        <v>0</v>
      </c>
      <c r="M35" s="425"/>
    </row>
    <row r="36" spans="2:13" x14ac:dyDescent="0.3">
      <c r="B36" s="422"/>
      <c r="C36" s="122"/>
      <c r="D36" s="472" t="s">
        <v>415</v>
      </c>
      <c r="E36" s="482"/>
      <c r="F36" s="526">
        <v>0</v>
      </c>
      <c r="G36" s="526">
        <v>0</v>
      </c>
      <c r="H36" s="526">
        <v>0</v>
      </c>
      <c r="I36" s="526">
        <v>0</v>
      </c>
      <c r="J36" s="526">
        <v>0</v>
      </c>
      <c r="K36" s="526">
        <v>0</v>
      </c>
      <c r="L36" s="526">
        <v>0</v>
      </c>
      <c r="M36" s="425"/>
    </row>
    <row r="37" spans="2:13" x14ac:dyDescent="0.3">
      <c r="B37" s="422"/>
      <c r="C37" s="122"/>
      <c r="D37" s="472"/>
      <c r="E37" s="482"/>
      <c r="F37" s="524"/>
      <c r="G37" s="524"/>
      <c r="H37" s="524"/>
      <c r="I37" s="524"/>
      <c r="J37" s="524"/>
      <c r="K37" s="524"/>
      <c r="L37" s="524"/>
      <c r="M37" s="425"/>
    </row>
    <row r="38" spans="2:13" s="409" customFormat="1" x14ac:dyDescent="0.3">
      <c r="B38" s="485"/>
      <c r="C38" s="486"/>
      <c r="D38" s="476" t="s">
        <v>125</v>
      </c>
      <c r="E38" s="487"/>
      <c r="F38" s="893">
        <f t="shared" ref="F38:J38" si="7">F35-F36</f>
        <v>0</v>
      </c>
      <c r="G38" s="893">
        <f t="shared" si="7"/>
        <v>0</v>
      </c>
      <c r="H38" s="893">
        <f t="shared" si="7"/>
        <v>0</v>
      </c>
      <c r="I38" s="893">
        <f t="shared" si="7"/>
        <v>0</v>
      </c>
      <c r="J38" s="893">
        <f t="shared" si="7"/>
        <v>0</v>
      </c>
      <c r="K38" s="893">
        <f t="shared" ref="K38:L38" si="8">K35-K36</f>
        <v>0</v>
      </c>
      <c r="L38" s="893">
        <f t="shared" si="8"/>
        <v>0</v>
      </c>
      <c r="M38" s="488"/>
    </row>
    <row r="39" spans="2:13" x14ac:dyDescent="0.3">
      <c r="B39" s="422"/>
      <c r="C39" s="122"/>
      <c r="D39" s="472"/>
      <c r="E39" s="482"/>
      <c r="F39" s="524"/>
      <c r="G39" s="524"/>
      <c r="H39" s="524"/>
      <c r="I39" s="524"/>
      <c r="J39" s="524"/>
      <c r="K39" s="524"/>
      <c r="L39" s="524"/>
      <c r="M39" s="425"/>
    </row>
    <row r="40" spans="2:13" x14ac:dyDescent="0.3">
      <c r="B40" s="422"/>
      <c r="C40" s="423"/>
      <c r="D40" s="518"/>
      <c r="E40" s="519"/>
      <c r="F40" s="520"/>
      <c r="G40" s="520"/>
      <c r="H40" s="520"/>
      <c r="I40" s="520"/>
      <c r="J40" s="520"/>
      <c r="K40" s="520"/>
      <c r="L40" s="520"/>
      <c r="M40" s="425"/>
    </row>
    <row r="41" spans="2:13" x14ac:dyDescent="0.3">
      <c r="B41" s="422"/>
      <c r="C41" s="122"/>
      <c r="D41" s="472"/>
      <c r="E41" s="482"/>
      <c r="F41" s="524"/>
      <c r="G41" s="524"/>
      <c r="H41" s="524"/>
      <c r="I41" s="524"/>
      <c r="J41" s="524"/>
      <c r="K41" s="524"/>
      <c r="L41" s="524"/>
      <c r="M41" s="425"/>
    </row>
    <row r="42" spans="2:13" s="409" customFormat="1" x14ac:dyDescent="0.3">
      <c r="B42" s="485"/>
      <c r="C42" s="486"/>
      <c r="D42" s="882" t="s">
        <v>131</v>
      </c>
      <c r="E42" s="487"/>
      <c r="F42" s="893">
        <f t="shared" ref="F42:J42" si="9">F29+F38</f>
        <v>-43750</v>
      </c>
      <c r="G42" s="893">
        <f t="shared" si="9"/>
        <v>1605560.1243467357</v>
      </c>
      <c r="H42" s="893">
        <f t="shared" si="9"/>
        <v>1455537.9028555555</v>
      </c>
      <c r="I42" s="893">
        <f t="shared" si="9"/>
        <v>1350297.1544368265</v>
      </c>
      <c r="J42" s="893">
        <f t="shared" si="9"/>
        <v>1399867.1025558496</v>
      </c>
      <c r="K42" s="893">
        <f t="shared" ref="K42:L42" si="10">K29+K38</f>
        <v>1405684.5385591409</v>
      </c>
      <c r="L42" s="893">
        <f t="shared" si="10"/>
        <v>1405468.337469439</v>
      </c>
      <c r="M42" s="488"/>
    </row>
    <row r="43" spans="2:13" x14ac:dyDescent="0.3">
      <c r="B43" s="422"/>
      <c r="C43" s="122"/>
      <c r="D43" s="472"/>
      <c r="E43" s="482"/>
      <c r="F43" s="524"/>
      <c r="G43" s="524"/>
      <c r="H43" s="524"/>
      <c r="I43" s="524"/>
      <c r="J43" s="524"/>
      <c r="K43" s="524"/>
      <c r="L43" s="524"/>
      <c r="M43" s="425"/>
    </row>
    <row r="44" spans="2:13" x14ac:dyDescent="0.3">
      <c r="B44" s="422"/>
      <c r="C44" s="423"/>
      <c r="D44" s="518"/>
      <c r="E44" s="519"/>
      <c r="F44" s="520"/>
      <c r="G44" s="520"/>
      <c r="H44" s="520"/>
      <c r="I44" s="520"/>
      <c r="J44" s="520"/>
      <c r="K44" s="520"/>
      <c r="L44" s="520"/>
      <c r="M44" s="425"/>
    </row>
    <row r="45" spans="2:13" x14ac:dyDescent="0.3">
      <c r="B45" s="422"/>
      <c r="C45" s="423"/>
      <c r="D45" s="518"/>
      <c r="E45" s="519"/>
      <c r="F45" s="520"/>
      <c r="G45" s="520"/>
      <c r="H45" s="520"/>
      <c r="I45" s="520"/>
      <c r="J45" s="520"/>
      <c r="K45" s="520"/>
      <c r="L45" s="520"/>
      <c r="M45" s="425"/>
    </row>
    <row r="46" spans="2:13" x14ac:dyDescent="0.3">
      <c r="B46" s="422"/>
      <c r="C46" s="122"/>
      <c r="D46" s="123"/>
      <c r="E46" s="123"/>
      <c r="F46" s="527"/>
      <c r="G46" s="527"/>
      <c r="H46" s="527"/>
      <c r="I46" s="527"/>
      <c r="J46" s="527"/>
      <c r="K46" s="527"/>
      <c r="L46" s="527"/>
      <c r="M46" s="425"/>
    </row>
    <row r="47" spans="2:13" s="129" customFormat="1" x14ac:dyDescent="0.3">
      <c r="B47" s="134"/>
      <c r="C47" s="125"/>
      <c r="D47" s="872" t="s">
        <v>128</v>
      </c>
      <c r="E47" s="126"/>
      <c r="F47" s="528"/>
      <c r="G47" s="528"/>
      <c r="H47" s="528"/>
      <c r="I47" s="528"/>
      <c r="J47" s="528"/>
      <c r="K47" s="528"/>
      <c r="L47" s="528"/>
      <c r="M47" s="135"/>
    </row>
    <row r="48" spans="2:13" x14ac:dyDescent="0.3">
      <c r="B48" s="422"/>
      <c r="C48" s="122"/>
      <c r="D48" s="123"/>
      <c r="E48" s="123"/>
      <c r="F48" s="527"/>
      <c r="G48" s="527"/>
      <c r="H48" s="527"/>
      <c r="I48" s="527"/>
      <c r="J48" s="527"/>
      <c r="K48" s="527"/>
      <c r="L48" s="527"/>
      <c r="M48" s="425"/>
    </row>
    <row r="49" spans="2:13" x14ac:dyDescent="0.3">
      <c r="B49" s="422"/>
      <c r="C49" s="122"/>
      <c r="D49" s="123" t="s">
        <v>129</v>
      </c>
      <c r="E49" s="123"/>
      <c r="F49" s="526">
        <v>0</v>
      </c>
      <c r="G49" s="838">
        <f>pers!I159</f>
        <v>0</v>
      </c>
      <c r="H49" s="838">
        <f>pers!J159</f>
        <v>0</v>
      </c>
      <c r="I49" s="838">
        <f>pers!K159</f>
        <v>0</v>
      </c>
      <c r="J49" s="838">
        <f>pers!L159</f>
        <v>0</v>
      </c>
      <c r="K49" s="838">
        <f>pers!M159</f>
        <v>0</v>
      </c>
      <c r="L49" s="838">
        <f>pers!N159</f>
        <v>0</v>
      </c>
      <c r="M49" s="425"/>
    </row>
    <row r="50" spans="2:13" x14ac:dyDescent="0.3">
      <c r="B50" s="422"/>
      <c r="C50" s="122"/>
      <c r="D50" s="123" t="s">
        <v>130</v>
      </c>
      <c r="E50" s="123"/>
      <c r="F50" s="526">
        <v>0</v>
      </c>
      <c r="G50" s="838">
        <f>mat!I55</f>
        <v>0</v>
      </c>
      <c r="H50" s="838">
        <f>mat!J55</f>
        <v>0</v>
      </c>
      <c r="I50" s="838">
        <f>mat!K55</f>
        <v>0</v>
      </c>
      <c r="J50" s="838">
        <f>mat!L55</f>
        <v>0</v>
      </c>
      <c r="K50" s="838">
        <f>mat!M55</f>
        <v>0</v>
      </c>
      <c r="L50" s="838">
        <f>mat!N55</f>
        <v>0</v>
      </c>
      <c r="M50" s="425"/>
    </row>
    <row r="51" spans="2:13" x14ac:dyDescent="0.3">
      <c r="B51" s="422"/>
      <c r="C51" s="122"/>
      <c r="D51" s="487"/>
      <c r="E51" s="123"/>
      <c r="F51" s="1009">
        <f t="shared" ref="F51:J51" si="11">SUM(F49:F50)</f>
        <v>0</v>
      </c>
      <c r="G51" s="1009">
        <f t="shared" si="11"/>
        <v>0</v>
      </c>
      <c r="H51" s="1009">
        <f t="shared" si="11"/>
        <v>0</v>
      </c>
      <c r="I51" s="1009">
        <f t="shared" si="11"/>
        <v>0</v>
      </c>
      <c r="J51" s="1009">
        <f t="shared" si="11"/>
        <v>0</v>
      </c>
      <c r="K51" s="1009">
        <f t="shared" ref="K51:L51" si="12">SUM(K49:K50)</f>
        <v>0</v>
      </c>
      <c r="L51" s="1009">
        <f t="shared" si="12"/>
        <v>0</v>
      </c>
      <c r="M51" s="425"/>
    </row>
    <row r="52" spans="2:13" x14ac:dyDescent="0.3">
      <c r="B52" s="422"/>
      <c r="C52" s="447"/>
      <c r="D52" s="448"/>
      <c r="E52" s="448"/>
      <c r="F52" s="529"/>
      <c r="G52" s="529"/>
      <c r="H52" s="529"/>
      <c r="I52" s="529"/>
      <c r="J52" s="529"/>
      <c r="K52" s="529"/>
      <c r="L52" s="529"/>
      <c r="M52" s="425"/>
    </row>
    <row r="53" spans="2:13" x14ac:dyDescent="0.3">
      <c r="B53" s="422"/>
      <c r="C53" s="423"/>
      <c r="D53" s="530"/>
      <c r="E53" s="423"/>
      <c r="F53" s="531"/>
      <c r="G53" s="531"/>
      <c r="H53" s="531"/>
      <c r="I53" s="531"/>
      <c r="J53" s="531"/>
      <c r="K53" s="531"/>
      <c r="L53" s="531"/>
      <c r="M53" s="425"/>
    </row>
    <row r="54" spans="2:13" x14ac:dyDescent="0.3">
      <c r="B54" s="452"/>
      <c r="C54" s="453"/>
      <c r="D54" s="532"/>
      <c r="E54" s="453"/>
      <c r="F54" s="533"/>
      <c r="G54" s="533"/>
      <c r="H54" s="533"/>
      <c r="I54" s="533"/>
      <c r="J54" s="533"/>
      <c r="K54" s="533"/>
      <c r="L54" s="533"/>
      <c r="M54" s="454"/>
    </row>
    <row r="55" spans="2:13" x14ac:dyDescent="0.3">
      <c r="D55" s="444"/>
      <c r="F55" s="534"/>
      <c r="G55" s="534"/>
      <c r="H55" s="534"/>
      <c r="I55" s="534"/>
      <c r="J55" s="534"/>
      <c r="K55" s="534"/>
      <c r="L55" s="534"/>
    </row>
    <row r="56" spans="2:13" x14ac:dyDescent="0.3">
      <c r="I56" s="535"/>
    </row>
    <row r="57" spans="2:13" x14ac:dyDescent="0.3">
      <c r="I57" s="535"/>
    </row>
    <row r="58" spans="2:13" x14ac:dyDescent="0.3">
      <c r="I58" s="535"/>
    </row>
    <row r="59" spans="2:13" x14ac:dyDescent="0.3">
      <c r="I59" s="535"/>
    </row>
    <row r="60" spans="2:13" x14ac:dyDescent="0.3">
      <c r="C60" s="974"/>
      <c r="D60" s="975"/>
      <c r="E60" s="886"/>
      <c r="F60" s="886" t="s">
        <v>468</v>
      </c>
      <c r="G60" s="886" t="str">
        <f>tab!B2</f>
        <v>2020/21</v>
      </c>
      <c r="H60" s="886" t="str">
        <f>tab!C2</f>
        <v>2021/22</v>
      </c>
      <c r="I60" s="886" t="str">
        <f>tab!D2</f>
        <v>2022/23</v>
      </c>
      <c r="J60" s="886" t="str">
        <f>tab!E2</f>
        <v>2023/24</v>
      </c>
      <c r="K60" s="886" t="str">
        <f>tab!F2</f>
        <v>2024/25</v>
      </c>
      <c r="L60" s="886" t="str">
        <f>tab!G2</f>
        <v>2025/26</v>
      </c>
    </row>
    <row r="61" spans="2:13" x14ac:dyDescent="0.3">
      <c r="C61" s="875" t="s">
        <v>103</v>
      </c>
      <c r="D61" s="887"/>
      <c r="E61" s="950"/>
      <c r="F61" s="976"/>
      <c r="G61" s="976"/>
      <c r="H61" s="976"/>
      <c r="I61" s="976"/>
      <c r="J61" s="887"/>
      <c r="K61" s="887"/>
      <c r="L61" s="887"/>
    </row>
    <row r="62" spans="2:13" x14ac:dyDescent="0.3">
      <c r="C62" s="956" t="s">
        <v>126</v>
      </c>
      <c r="D62" s="887"/>
      <c r="E62" s="950"/>
      <c r="F62" s="976">
        <f>pers!H64+mat!H192</f>
        <v>1940271.9411200001</v>
      </c>
      <c r="G62" s="976">
        <f>pers!I64+mat!I192</f>
        <v>1747753.0340117333</v>
      </c>
      <c r="H62" s="976">
        <f>pers!J64+mat!J192</f>
        <v>1647582.37738</v>
      </c>
      <c r="I62" s="976">
        <f>pers!K64+mat!K192</f>
        <v>1659540.6083200001</v>
      </c>
      <c r="J62" s="976">
        <f>pers!L64+mat!L192</f>
        <v>1671498.8392599998</v>
      </c>
      <c r="K62" s="976">
        <f>pers!M64+mat!M192</f>
        <v>1683457.0702</v>
      </c>
      <c r="L62" s="976">
        <f>pers!N64+mat!N192</f>
        <v>1680829.0702</v>
      </c>
    </row>
    <row r="63" spans="2:13" x14ac:dyDescent="0.3">
      <c r="C63" s="956" t="s">
        <v>84</v>
      </c>
      <c r="D63" s="887"/>
      <c r="E63" s="950"/>
      <c r="F63" s="976">
        <f>pers!H77+mat!H193</f>
        <v>0</v>
      </c>
      <c r="G63" s="976">
        <f>pers!I77+mat!I193</f>
        <v>0</v>
      </c>
      <c r="H63" s="976">
        <f>pers!J77+mat!J193</f>
        <v>0</v>
      </c>
      <c r="I63" s="976">
        <f>pers!K77+mat!K193</f>
        <v>0</v>
      </c>
      <c r="J63" s="976">
        <f>pers!L77+mat!L193</f>
        <v>0</v>
      </c>
      <c r="K63" s="976">
        <f>pers!M77+mat!M193</f>
        <v>0</v>
      </c>
      <c r="L63" s="976">
        <f>pers!N77+mat!N193</f>
        <v>0</v>
      </c>
    </row>
    <row r="64" spans="2:13" x14ac:dyDescent="0.3">
      <c r="C64" s="956" t="s">
        <v>127</v>
      </c>
      <c r="D64" s="887"/>
      <c r="E64" s="950"/>
      <c r="F64" s="976">
        <v>0</v>
      </c>
      <c r="G64" s="976">
        <v>0</v>
      </c>
      <c r="H64" s="976">
        <v>0</v>
      </c>
      <c r="I64" s="976">
        <v>0</v>
      </c>
      <c r="J64" s="976">
        <v>0</v>
      </c>
      <c r="K64" s="976">
        <v>0</v>
      </c>
      <c r="L64" s="976">
        <v>1</v>
      </c>
    </row>
    <row r="65" spans="3:12" x14ac:dyDescent="0.3">
      <c r="C65" s="956" t="s">
        <v>91</v>
      </c>
      <c r="D65" s="887"/>
      <c r="E65" s="950"/>
      <c r="F65" s="976">
        <f>pers!H88+mat!H194</f>
        <v>0</v>
      </c>
      <c r="G65" s="976">
        <f>pers!I88+mat!I194</f>
        <v>0</v>
      </c>
      <c r="H65" s="976">
        <f>pers!J88+mat!J194</f>
        <v>0</v>
      </c>
      <c r="I65" s="976">
        <f>pers!K88+mat!K194</f>
        <v>0</v>
      </c>
      <c r="J65" s="976">
        <f>pers!L88+mat!L194</f>
        <v>0</v>
      </c>
      <c r="K65" s="976">
        <f>pers!M88+mat!M194</f>
        <v>0</v>
      </c>
      <c r="L65" s="976">
        <f>pers!N88+mat!N194</f>
        <v>0</v>
      </c>
    </row>
    <row r="66" spans="3:12" x14ac:dyDescent="0.3">
      <c r="C66" s="956" t="s">
        <v>242</v>
      </c>
      <c r="D66" s="887"/>
      <c r="E66" s="950"/>
      <c r="F66" s="976">
        <f>pers!H97-pers!H88+mat!H195</f>
        <v>0</v>
      </c>
      <c r="G66" s="976">
        <f>pers!I97-pers!I88+mat!I195</f>
        <v>0</v>
      </c>
      <c r="H66" s="976">
        <f>pers!J97-pers!J88+mat!J195</f>
        <v>0</v>
      </c>
      <c r="I66" s="976">
        <f>pers!K97-pers!K88+mat!K195</f>
        <v>0</v>
      </c>
      <c r="J66" s="976">
        <f>pers!L97-pers!L88+mat!L195</f>
        <v>0</v>
      </c>
      <c r="K66" s="976">
        <f>pers!M97-pers!M88+mat!M195</f>
        <v>0</v>
      </c>
      <c r="L66" s="976">
        <f>pers!N97-pers!N88+mat!N195</f>
        <v>0</v>
      </c>
    </row>
    <row r="67" spans="3:12" x14ac:dyDescent="0.3">
      <c r="C67" s="977"/>
      <c r="D67" s="887"/>
      <c r="E67" s="950"/>
      <c r="F67" s="978">
        <f t="shared" ref="F67:K67" si="13">SUM(F62:F66)</f>
        <v>1940271.9411200001</v>
      </c>
      <c r="G67" s="978">
        <f t="shared" si="13"/>
        <v>1747753.0340117333</v>
      </c>
      <c r="H67" s="978">
        <f t="shared" si="13"/>
        <v>1647582.37738</v>
      </c>
      <c r="I67" s="978">
        <f t="shared" si="13"/>
        <v>1659540.6083200001</v>
      </c>
      <c r="J67" s="978">
        <f t="shared" si="13"/>
        <v>1671498.8392599998</v>
      </c>
      <c r="K67" s="978">
        <f t="shared" si="13"/>
        <v>1683457.0702</v>
      </c>
      <c r="L67" s="978">
        <f t="shared" ref="L67" si="14">SUM(L62:L66)</f>
        <v>1680830.0702</v>
      </c>
    </row>
    <row r="68" spans="3:12" x14ac:dyDescent="0.3">
      <c r="C68" s="875" t="s">
        <v>53</v>
      </c>
      <c r="D68" s="887"/>
      <c r="E68" s="950"/>
      <c r="F68" s="976"/>
      <c r="G68" s="976"/>
      <c r="H68" s="976"/>
      <c r="I68" s="976"/>
      <c r="J68" s="887"/>
      <c r="K68" s="887"/>
      <c r="L68" s="887"/>
    </row>
    <row r="69" spans="3:12" x14ac:dyDescent="0.3">
      <c r="C69" s="887" t="s">
        <v>477</v>
      </c>
      <c r="D69" s="887"/>
      <c r="E69" s="950"/>
      <c r="F69" s="976">
        <f>pers!H138</f>
        <v>200808.07381193491</v>
      </c>
      <c r="G69" s="976">
        <f>pers!I138</f>
        <v>204869.17685352621</v>
      </c>
      <c r="H69" s="976">
        <f>pers!J138</f>
        <v>212232.78119349008</v>
      </c>
      <c r="I69" s="976">
        <f>pers!K138</f>
        <v>218316.87233273059</v>
      </c>
      <c r="J69" s="976">
        <f>pers!L138</f>
        <v>224531.02350813744</v>
      </c>
      <c r="K69" s="976">
        <f>pers!M138</f>
        <v>230569.1197106691</v>
      </c>
      <c r="L69" s="976">
        <f>pers!N138</f>
        <v>233068.99095840869</v>
      </c>
    </row>
    <row r="70" spans="3:12" x14ac:dyDescent="0.3">
      <c r="C70" s="887" t="s">
        <v>244</v>
      </c>
      <c r="D70" s="887"/>
      <c r="E70" s="950"/>
      <c r="F70" s="976">
        <f>mat!H198</f>
        <v>43750</v>
      </c>
      <c r="G70" s="976">
        <f>mat!I198</f>
        <v>43750</v>
      </c>
      <c r="H70" s="976">
        <f>mat!J198</f>
        <v>69270.833333333328</v>
      </c>
      <c r="I70" s="976">
        <f>mat!K198</f>
        <v>61979.166666666686</v>
      </c>
      <c r="J70" s="976">
        <f>mat!L198</f>
        <v>43750</v>
      </c>
      <c r="K70" s="976">
        <f>mat!M198</f>
        <v>43750</v>
      </c>
      <c r="L70" s="976">
        <f>mat!N198</f>
        <v>0</v>
      </c>
    </row>
    <row r="71" spans="3:12" x14ac:dyDescent="0.3">
      <c r="C71" s="887" t="s">
        <v>245</v>
      </c>
      <c r="D71" s="887"/>
      <c r="E71" s="950"/>
      <c r="F71" s="976">
        <f>mat!H199</f>
        <v>0</v>
      </c>
      <c r="G71" s="976">
        <f>mat!I199</f>
        <v>0</v>
      </c>
      <c r="H71" s="976">
        <f>mat!J199</f>
        <v>0</v>
      </c>
      <c r="I71" s="976">
        <f>mat!K199</f>
        <v>0</v>
      </c>
      <c r="J71" s="976">
        <f>mat!L199</f>
        <v>0</v>
      </c>
      <c r="K71" s="976">
        <f>mat!M199</f>
        <v>0</v>
      </c>
      <c r="L71" s="976">
        <f>mat!N199</f>
        <v>0</v>
      </c>
    </row>
    <row r="72" spans="3:12" x14ac:dyDescent="0.3">
      <c r="C72" s="887" t="s">
        <v>134</v>
      </c>
      <c r="D72" s="887"/>
      <c r="E72" s="950"/>
      <c r="F72" s="976">
        <f>mat!H200</f>
        <v>0</v>
      </c>
      <c r="G72" s="976">
        <f>mat!I200</f>
        <v>0</v>
      </c>
      <c r="H72" s="976">
        <f>mat!J200</f>
        <v>0</v>
      </c>
      <c r="I72" s="976">
        <f>mat!K200</f>
        <v>0</v>
      </c>
      <c r="J72" s="976">
        <f>mat!L200</f>
        <v>0</v>
      </c>
      <c r="K72" s="976">
        <f>mat!M200</f>
        <v>0</v>
      </c>
      <c r="L72" s="976">
        <f>mat!N200</f>
        <v>0</v>
      </c>
    </row>
    <row r="73" spans="3:12" x14ac:dyDescent="0.3">
      <c r="C73" s="977"/>
      <c r="D73" s="887"/>
      <c r="E73" s="950"/>
      <c r="F73" s="978">
        <f t="shared" ref="F73:K73" si="15">SUM(F69:F72)</f>
        <v>244558.07381193491</v>
      </c>
      <c r="G73" s="978">
        <f t="shared" si="15"/>
        <v>248619.17685352621</v>
      </c>
      <c r="H73" s="978">
        <f t="shared" si="15"/>
        <v>281503.6145268234</v>
      </c>
      <c r="I73" s="978">
        <f t="shared" si="15"/>
        <v>280296.03899939731</v>
      </c>
      <c r="J73" s="978">
        <f t="shared" si="15"/>
        <v>268281.02350813744</v>
      </c>
      <c r="K73" s="978">
        <f t="shared" si="15"/>
        <v>274319.1197106691</v>
      </c>
      <c r="L73" s="978">
        <f t="shared" ref="L73" si="16">SUM(L69:L72)</f>
        <v>233068.99095840869</v>
      </c>
    </row>
    <row r="74" spans="3:12" x14ac:dyDescent="0.3">
      <c r="C74" s="979"/>
      <c r="D74" s="887"/>
      <c r="E74" s="950"/>
      <c r="F74" s="976"/>
      <c r="G74" s="976"/>
      <c r="H74" s="976"/>
      <c r="I74" s="976"/>
      <c r="J74" s="887"/>
      <c r="K74" s="887"/>
      <c r="L74" s="887"/>
    </row>
    <row r="75" spans="3:12" x14ac:dyDescent="0.3">
      <c r="C75" s="977" t="s">
        <v>104</v>
      </c>
      <c r="D75" s="887"/>
      <c r="E75" s="950"/>
      <c r="F75" s="978">
        <f t="shared" ref="F75:K75" si="17">+F67-F73</f>
        <v>1695713.8673080653</v>
      </c>
      <c r="G75" s="978">
        <f t="shared" si="17"/>
        <v>1499133.8571582071</v>
      </c>
      <c r="H75" s="978">
        <f t="shared" si="17"/>
        <v>1366078.7628531766</v>
      </c>
      <c r="I75" s="978">
        <f t="shared" si="17"/>
        <v>1379244.5693206028</v>
      </c>
      <c r="J75" s="978">
        <f t="shared" si="17"/>
        <v>1403217.8157518622</v>
      </c>
      <c r="K75" s="978">
        <f t="shared" si="17"/>
        <v>1409137.9504893308</v>
      </c>
      <c r="L75" s="978">
        <f t="shared" ref="L75" si="18">+L67-L73</f>
        <v>1447761.0792415913</v>
      </c>
    </row>
    <row r="76" spans="3:12" x14ac:dyDescent="0.3">
      <c r="I76" s="535"/>
    </row>
    <row r="77" spans="3:12" x14ac:dyDescent="0.3">
      <c r="I77" s="535"/>
    </row>
    <row r="78" spans="3:12" x14ac:dyDescent="0.3">
      <c r="I78" s="535"/>
    </row>
    <row r="79" spans="3:12" x14ac:dyDescent="0.3">
      <c r="I79" s="535"/>
    </row>
    <row r="80" spans="3:12" x14ac:dyDescent="0.3">
      <c r="I80" s="535"/>
    </row>
    <row r="81" spans="9:9" x14ac:dyDescent="0.3">
      <c r="I81" s="535"/>
    </row>
    <row r="82" spans="9:9" x14ac:dyDescent="0.3">
      <c r="I82" s="535"/>
    </row>
    <row r="83" spans="9:9" x14ac:dyDescent="0.3">
      <c r="I83" s="535"/>
    </row>
    <row r="84" spans="9:9" x14ac:dyDescent="0.3">
      <c r="I84" s="535"/>
    </row>
    <row r="85" spans="9:9" x14ac:dyDescent="0.3">
      <c r="I85" s="535"/>
    </row>
    <row r="86" spans="9:9" x14ac:dyDescent="0.3">
      <c r="I86" s="535"/>
    </row>
    <row r="87" spans="9:9" x14ac:dyDescent="0.3">
      <c r="I87" s="535"/>
    </row>
    <row r="88" spans="9:9" x14ac:dyDescent="0.3">
      <c r="I88" s="535"/>
    </row>
    <row r="89" spans="9:9" x14ac:dyDescent="0.3">
      <c r="I89" s="535"/>
    </row>
    <row r="90" spans="9:9" x14ac:dyDescent="0.3">
      <c r="I90" s="535"/>
    </row>
    <row r="91" spans="9:9" x14ac:dyDescent="0.3">
      <c r="I91" s="535"/>
    </row>
    <row r="92" spans="9:9" x14ac:dyDescent="0.3">
      <c r="I92" s="535"/>
    </row>
    <row r="93" spans="9:9" x14ac:dyDescent="0.3">
      <c r="I93" s="535"/>
    </row>
    <row r="94" spans="9:9" x14ac:dyDescent="0.3">
      <c r="I94" s="535"/>
    </row>
    <row r="95" spans="9:9" x14ac:dyDescent="0.3">
      <c r="I95" s="535"/>
    </row>
    <row r="96" spans="9:9" x14ac:dyDescent="0.3">
      <c r="I96" s="535"/>
    </row>
    <row r="97" spans="9:9" x14ac:dyDescent="0.3">
      <c r="I97" s="535"/>
    </row>
    <row r="98" spans="9:9" x14ac:dyDescent="0.3">
      <c r="I98" s="535"/>
    </row>
    <row r="99" spans="9:9" x14ac:dyDescent="0.3">
      <c r="I99" s="535"/>
    </row>
    <row r="100" spans="9:9" x14ac:dyDescent="0.3">
      <c r="I100" s="535"/>
    </row>
    <row r="101" spans="9:9" x14ac:dyDescent="0.3">
      <c r="I101" s="535"/>
    </row>
    <row r="102" spans="9:9" x14ac:dyDescent="0.3">
      <c r="I102" s="535"/>
    </row>
    <row r="103" spans="9:9" x14ac:dyDescent="0.3">
      <c r="I103" s="535"/>
    </row>
    <row r="104" spans="9:9" x14ac:dyDescent="0.3">
      <c r="I104" s="535"/>
    </row>
    <row r="105" spans="9:9" x14ac:dyDescent="0.3">
      <c r="I105" s="535"/>
    </row>
    <row r="106" spans="9:9" x14ac:dyDescent="0.3">
      <c r="I106" s="535"/>
    </row>
    <row r="107" spans="9:9" x14ac:dyDescent="0.3">
      <c r="I107" s="535"/>
    </row>
    <row r="108" spans="9:9" x14ac:dyDescent="0.3">
      <c r="I108" s="535"/>
    </row>
  </sheetData>
  <sheetProtection algorithmName="SHA-512" hashValue="wNYnrXmVI2uZq7jlB8Sb6LpFJOnSWbUxjtZCIl8/m77hqZyQq/TfqDrNN0K7TTduxjVoWp7CHSU/Mhut5aAbSA==" saltValue="xw26dkBytOmMMRotw2fBNA==" spinCount="100000" sheet="1" objects="1" scenarios="1"/>
  <phoneticPr fontId="0" type="noConversion"/>
  <pageMargins left="0.78740157480314965" right="0.78740157480314965" top="0.98425196850393704" bottom="0.98425196850393704" header="0.51181102362204722" footer="0.51181102362204722"/>
  <pageSetup paperSize="9" scale="61" orientation="portrait" r:id="rId1"/>
  <headerFooter alignWithMargins="0">
    <oddHeader>&amp;L&amp;"Arial,Vet"&amp;F&amp;R&amp;"Arial,Vet"&amp;A</oddHeader>
    <oddFooter>&amp;L&amp;"Arial,Vet"PO-Raad&amp;C&amp;"Arial,Vet"&amp;D&amp;R&amp;"Arial,Vet"pagina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pageSetUpPr fitToPage="1"/>
  </sheetPr>
  <dimension ref="B1:U60"/>
  <sheetViews>
    <sheetView showGridLines="0" zoomScale="85" zoomScaleNormal="85" zoomScaleSheetLayoutView="85" workbookViewId="0">
      <pane ySplit="9" topLeftCell="A10" activePane="bottomLeft" state="frozen"/>
      <selection activeCell="A4" sqref="A4:XFD4"/>
      <selection pane="bottomLeft" activeCell="Q24" sqref="Q24"/>
    </sheetView>
  </sheetViews>
  <sheetFormatPr defaultColWidth="9.109375" defaultRowHeight="13.8" x14ac:dyDescent="0.3"/>
  <cols>
    <col min="1" max="1" width="3.6640625" style="410" customWidth="1"/>
    <col min="2" max="3" width="2.6640625" style="410" customWidth="1"/>
    <col min="4" max="4" width="41" style="410" customWidth="1"/>
    <col min="5" max="5" width="2.6640625" style="410" customWidth="1"/>
    <col min="6" max="7" width="14.88671875" style="410" customWidth="1"/>
    <col min="8" max="12" width="14.88671875" style="536" customWidth="1"/>
    <col min="13" max="13" width="2.6640625" style="410" customWidth="1"/>
    <col min="14" max="14" width="11.44140625" style="537" customWidth="1"/>
    <col min="15" max="15" width="33.6640625" style="410" customWidth="1"/>
    <col min="16" max="16" width="2.5546875" style="410" customWidth="1"/>
    <col min="17" max="21" width="10.6640625" style="410" customWidth="1"/>
    <col min="22" max="22" width="2.6640625" style="410" customWidth="1"/>
    <col min="23" max="16384" width="9.109375" style="410"/>
  </cols>
  <sheetData>
    <row r="1" spans="2:17" ht="12.75" customHeight="1" x14ac:dyDescent="0.3"/>
    <row r="2" spans="2:17" x14ac:dyDescent="0.3">
      <c r="B2" s="418"/>
      <c r="C2" s="419"/>
      <c r="D2" s="419"/>
      <c r="E2" s="419"/>
      <c r="F2" s="419"/>
      <c r="G2" s="419"/>
      <c r="H2" s="538"/>
      <c r="I2" s="538"/>
      <c r="J2" s="538"/>
      <c r="K2" s="538"/>
      <c r="L2" s="538"/>
      <c r="M2" s="421"/>
    </row>
    <row r="3" spans="2:17" x14ac:dyDescent="0.3">
      <c r="B3" s="422"/>
      <c r="C3" s="423"/>
      <c r="D3" s="423"/>
      <c r="E3" s="423"/>
      <c r="F3" s="423"/>
      <c r="G3" s="423"/>
      <c r="H3" s="539"/>
      <c r="I3" s="539"/>
      <c r="J3" s="539"/>
      <c r="K3" s="539"/>
      <c r="L3" s="539"/>
      <c r="M3" s="425"/>
    </row>
    <row r="4" spans="2:17" s="12" customFormat="1" ht="18" x14ac:dyDescent="0.35">
      <c r="B4" s="848"/>
      <c r="C4" s="834" t="s">
        <v>196</v>
      </c>
      <c r="D4" s="130"/>
      <c r="E4" s="73"/>
      <c r="F4" s="73"/>
      <c r="G4" s="73"/>
      <c r="H4" s="157"/>
      <c r="I4" s="157"/>
      <c r="J4" s="157"/>
      <c r="K4" s="157"/>
      <c r="L4" s="157"/>
      <c r="M4" s="76"/>
      <c r="N4" s="415"/>
    </row>
    <row r="5" spans="2:17" s="12" customFormat="1" ht="18" x14ac:dyDescent="0.35">
      <c r="B5" s="491"/>
      <c r="C5" s="68" t="str">
        <f>geg!F11</f>
        <v>Voorbeeldschool</v>
      </c>
      <c r="D5" s="73"/>
      <c r="E5" s="73"/>
      <c r="F5" s="73"/>
      <c r="G5" s="73"/>
      <c r="H5" s="157"/>
      <c r="I5" s="157"/>
      <c r="J5" s="157"/>
      <c r="K5" s="157"/>
      <c r="L5" s="157"/>
      <c r="M5" s="76"/>
      <c r="N5" s="415"/>
    </row>
    <row r="6" spans="2:17" x14ac:dyDescent="0.3">
      <c r="B6" s="540"/>
      <c r="C6" s="519"/>
      <c r="D6" s="423"/>
      <c r="E6" s="423"/>
      <c r="F6" s="423"/>
      <c r="G6" s="423"/>
      <c r="H6" s="539"/>
      <c r="I6" s="539"/>
      <c r="J6" s="539"/>
      <c r="K6" s="539"/>
      <c r="L6" s="539"/>
      <c r="M6" s="425"/>
    </row>
    <row r="7" spans="2:17" x14ac:dyDescent="0.3">
      <c r="B7" s="540"/>
      <c r="C7" s="519"/>
      <c r="D7" s="423"/>
      <c r="E7" s="423"/>
      <c r="F7" s="423"/>
      <c r="G7" s="423"/>
      <c r="H7" s="539"/>
      <c r="I7" s="539"/>
      <c r="J7" s="539"/>
      <c r="K7" s="539"/>
      <c r="L7" s="539"/>
      <c r="M7" s="425"/>
    </row>
    <row r="8" spans="2:17" s="12" customFormat="1" x14ac:dyDescent="0.3">
      <c r="B8" s="432"/>
      <c r="C8" s="156"/>
      <c r="D8" s="466"/>
      <c r="E8" s="73"/>
      <c r="F8" s="871">
        <f>tab!B4</f>
        <v>2020</v>
      </c>
      <c r="G8" s="871">
        <f>tab!C4</f>
        <v>2021</v>
      </c>
      <c r="H8" s="871">
        <f>tab!D4</f>
        <v>2022</v>
      </c>
      <c r="I8" s="871">
        <f>tab!E4</f>
        <v>2023</v>
      </c>
      <c r="J8" s="871">
        <f>tab!F4</f>
        <v>2024</v>
      </c>
      <c r="K8" s="871">
        <f>tab!G4</f>
        <v>2025</v>
      </c>
      <c r="L8" s="871">
        <f>tab!H4</f>
        <v>2026</v>
      </c>
      <c r="M8" s="76"/>
      <c r="N8" s="415"/>
    </row>
    <row r="9" spans="2:17" x14ac:dyDescent="0.3">
      <c r="B9" s="485"/>
      <c r="C9" s="541"/>
      <c r="D9" s="519"/>
      <c r="E9" s="423"/>
      <c r="F9" s="1014"/>
      <c r="G9" s="1014"/>
      <c r="H9" s="64"/>
      <c r="I9" s="64"/>
      <c r="J9" s="64"/>
      <c r="K9" s="64"/>
      <c r="L9" s="64"/>
      <c r="M9" s="425"/>
    </row>
    <row r="10" spans="2:17" x14ac:dyDescent="0.3">
      <c r="B10" s="485"/>
      <c r="C10" s="542"/>
      <c r="D10" s="522"/>
      <c r="E10" s="436"/>
      <c r="F10" s="436"/>
      <c r="G10" s="436"/>
      <c r="H10" s="492"/>
      <c r="I10" s="492"/>
      <c r="J10" s="492"/>
      <c r="K10" s="492"/>
      <c r="L10" s="492"/>
      <c r="M10" s="425"/>
    </row>
    <row r="11" spans="2:17" x14ac:dyDescent="0.3">
      <c r="B11" s="422"/>
      <c r="C11" s="122"/>
      <c r="D11" s="872" t="s">
        <v>68</v>
      </c>
      <c r="E11" s="123"/>
      <c r="F11" s="123"/>
      <c r="G11" s="123"/>
      <c r="H11" s="124"/>
      <c r="I11" s="124"/>
      <c r="J11" s="124"/>
      <c r="K11" s="124"/>
      <c r="L11" s="124"/>
      <c r="M11" s="425"/>
    </row>
    <row r="12" spans="2:17" x14ac:dyDescent="0.3">
      <c r="B12" s="422"/>
      <c r="C12" s="122"/>
      <c r="D12" s="123"/>
      <c r="E12" s="123"/>
      <c r="F12" s="123"/>
      <c r="G12" s="123"/>
      <c r="H12" s="123"/>
      <c r="I12" s="123"/>
      <c r="J12" s="123"/>
      <c r="K12" s="123"/>
      <c r="L12" s="123"/>
      <c r="M12" s="543"/>
      <c r="N12" s="544"/>
      <c r="O12" s="536"/>
      <c r="P12" s="536"/>
      <c r="Q12" s="536"/>
    </row>
    <row r="13" spans="2:17" x14ac:dyDescent="0.3">
      <c r="B13" s="422"/>
      <c r="C13" s="122"/>
      <c r="D13" s="482" t="s">
        <v>173</v>
      </c>
      <c r="E13" s="123"/>
      <c r="F13" s="123"/>
      <c r="G13" s="123"/>
      <c r="H13" s="123"/>
      <c r="I13" s="123"/>
      <c r="J13" s="123"/>
      <c r="K13" s="123"/>
      <c r="L13" s="123"/>
      <c r="M13" s="425"/>
    </row>
    <row r="14" spans="2:17" x14ac:dyDescent="0.3">
      <c r="B14" s="422"/>
      <c r="C14" s="122"/>
      <c r="D14" s="123" t="s">
        <v>420</v>
      </c>
      <c r="E14" s="123"/>
      <c r="F14" s="473">
        <v>0</v>
      </c>
      <c r="G14" s="473">
        <v>0</v>
      </c>
      <c r="H14" s="473">
        <f>G14</f>
        <v>0</v>
      </c>
      <c r="I14" s="473">
        <f t="shared" ref="I14:L16" si="0">H14</f>
        <v>0</v>
      </c>
      <c r="J14" s="473">
        <f t="shared" si="0"/>
        <v>0</v>
      </c>
      <c r="K14" s="473">
        <f t="shared" si="0"/>
        <v>0</v>
      </c>
      <c r="L14" s="473">
        <f t="shared" si="0"/>
        <v>0</v>
      </c>
      <c r="M14" s="425"/>
    </row>
    <row r="15" spans="2:17" x14ac:dyDescent="0.3">
      <c r="B15" s="422"/>
      <c r="C15" s="122"/>
      <c r="D15" s="123" t="s">
        <v>421</v>
      </c>
      <c r="E15" s="123"/>
      <c r="F15" s="838">
        <f>act!E53</f>
        <v>0</v>
      </c>
      <c r="G15" s="838">
        <f>act!F53</f>
        <v>-43750</v>
      </c>
      <c r="H15" s="838">
        <f>act!G53</f>
        <v>-87500</v>
      </c>
      <c r="I15" s="838">
        <f>act!H53</f>
        <v>-131250</v>
      </c>
      <c r="J15" s="838">
        <f>act!I53</f>
        <v>0</v>
      </c>
      <c r="K15" s="838">
        <f>act!J53</f>
        <v>-43750</v>
      </c>
      <c r="L15" s="838">
        <f>act!K53</f>
        <v>-87500</v>
      </c>
      <c r="M15" s="425"/>
    </row>
    <row r="16" spans="2:17" x14ac:dyDescent="0.3">
      <c r="B16" s="422"/>
      <c r="C16" s="122"/>
      <c r="D16" s="123" t="s">
        <v>422</v>
      </c>
      <c r="E16" s="123"/>
      <c r="F16" s="473">
        <v>0</v>
      </c>
      <c r="G16" s="473">
        <v>0</v>
      </c>
      <c r="H16" s="473">
        <f>G16</f>
        <v>0</v>
      </c>
      <c r="I16" s="473">
        <f t="shared" si="0"/>
        <v>0</v>
      </c>
      <c r="J16" s="473">
        <f t="shared" si="0"/>
        <v>0</v>
      </c>
      <c r="K16" s="473">
        <f t="shared" si="0"/>
        <v>0</v>
      </c>
      <c r="L16" s="473">
        <f t="shared" si="0"/>
        <v>0</v>
      </c>
      <c r="M16" s="425"/>
    </row>
    <row r="17" spans="2:21" x14ac:dyDescent="0.3">
      <c r="B17" s="422"/>
      <c r="C17" s="122"/>
      <c r="D17" s="476"/>
      <c r="E17" s="123"/>
      <c r="F17" s="1010">
        <f t="shared" ref="F17:K17" si="1">SUM(F14:F16)</f>
        <v>0</v>
      </c>
      <c r="G17" s="1010">
        <f t="shared" si="1"/>
        <v>-43750</v>
      </c>
      <c r="H17" s="1010">
        <f t="shared" si="1"/>
        <v>-87500</v>
      </c>
      <c r="I17" s="1010">
        <f t="shared" si="1"/>
        <v>-131250</v>
      </c>
      <c r="J17" s="1010">
        <f t="shared" si="1"/>
        <v>0</v>
      </c>
      <c r="K17" s="1010">
        <f t="shared" si="1"/>
        <v>-43750</v>
      </c>
      <c r="L17" s="1010">
        <f t="shared" ref="L17" si="2">SUM(L14:L16)</f>
        <v>-87500</v>
      </c>
      <c r="M17" s="425"/>
    </row>
    <row r="18" spans="2:21" x14ac:dyDescent="0.3">
      <c r="B18" s="422"/>
      <c r="C18" s="122"/>
      <c r="D18" s="482" t="s">
        <v>172</v>
      </c>
      <c r="E18" s="123"/>
      <c r="F18" s="123"/>
      <c r="G18" s="123"/>
      <c r="H18" s="546"/>
      <c r="I18" s="546"/>
      <c r="J18" s="546"/>
      <c r="K18" s="546"/>
      <c r="L18" s="546"/>
      <c r="M18" s="425"/>
    </row>
    <row r="19" spans="2:21" x14ac:dyDescent="0.3">
      <c r="B19" s="422"/>
      <c r="C19" s="122"/>
      <c r="D19" s="123" t="s">
        <v>423</v>
      </c>
      <c r="E19" s="123"/>
      <c r="F19" s="473">
        <v>0</v>
      </c>
      <c r="G19" s="473">
        <v>0</v>
      </c>
      <c r="H19" s="473">
        <f>G19</f>
        <v>0</v>
      </c>
      <c r="I19" s="473">
        <f t="shared" ref="I19:L21" si="3">H19</f>
        <v>0</v>
      </c>
      <c r="J19" s="473">
        <f t="shared" si="3"/>
        <v>0</v>
      </c>
      <c r="K19" s="473">
        <f t="shared" si="3"/>
        <v>0</v>
      </c>
      <c r="L19" s="473">
        <f t="shared" si="3"/>
        <v>0</v>
      </c>
      <c r="M19" s="425"/>
    </row>
    <row r="20" spans="2:21" x14ac:dyDescent="0.3">
      <c r="B20" s="422"/>
      <c r="C20" s="122"/>
      <c r="D20" s="123" t="s">
        <v>424</v>
      </c>
      <c r="E20" s="123"/>
      <c r="F20" s="473">
        <v>0</v>
      </c>
      <c r="G20" s="473">
        <v>0</v>
      </c>
      <c r="H20" s="473">
        <f>G20</f>
        <v>0</v>
      </c>
      <c r="I20" s="473">
        <f t="shared" si="3"/>
        <v>0</v>
      </c>
      <c r="J20" s="473">
        <f t="shared" si="3"/>
        <v>0</v>
      </c>
      <c r="K20" s="473">
        <f t="shared" si="3"/>
        <v>0</v>
      </c>
      <c r="L20" s="473">
        <f t="shared" si="3"/>
        <v>0</v>
      </c>
      <c r="M20" s="425"/>
    </row>
    <row r="21" spans="2:21" x14ac:dyDescent="0.3">
      <c r="B21" s="422"/>
      <c r="C21" s="122"/>
      <c r="D21" s="123" t="s">
        <v>425</v>
      </c>
      <c r="E21" s="123"/>
      <c r="F21" s="473">
        <v>0</v>
      </c>
      <c r="G21" s="473">
        <v>0</v>
      </c>
      <c r="H21" s="473">
        <f>G21</f>
        <v>0</v>
      </c>
      <c r="I21" s="473">
        <f t="shared" si="3"/>
        <v>0</v>
      </c>
      <c r="J21" s="473">
        <f t="shared" si="3"/>
        <v>0</v>
      </c>
      <c r="K21" s="473">
        <f t="shared" si="3"/>
        <v>0</v>
      </c>
      <c r="L21" s="473">
        <f t="shared" si="3"/>
        <v>0</v>
      </c>
      <c r="M21" s="425"/>
    </row>
    <row r="22" spans="2:21" x14ac:dyDescent="0.3">
      <c r="B22" s="422"/>
      <c r="C22" s="122"/>
      <c r="D22" s="123" t="s">
        <v>426</v>
      </c>
      <c r="E22" s="123"/>
      <c r="F22" s="473">
        <v>0</v>
      </c>
      <c r="G22" s="846">
        <f t="shared" ref="G22:L22" si="4">G57-(G17+(SUM(G19:G21)))</f>
        <v>0</v>
      </c>
      <c r="H22" s="846">
        <f t="shared" si="4"/>
        <v>1649310.1243467357</v>
      </c>
      <c r="I22" s="846">
        <f t="shared" si="4"/>
        <v>3148598.0272022914</v>
      </c>
      <c r="J22" s="846">
        <f t="shared" si="4"/>
        <v>4367645.1816391181</v>
      </c>
      <c r="K22" s="846">
        <f t="shared" si="4"/>
        <v>5811262.2841949677</v>
      </c>
      <c r="L22" s="846">
        <f t="shared" si="4"/>
        <v>7260696.8227541083</v>
      </c>
      <c r="M22" s="425"/>
    </row>
    <row r="23" spans="2:21" x14ac:dyDescent="0.3">
      <c r="B23" s="422"/>
      <c r="C23" s="122"/>
      <c r="D23" s="476"/>
      <c r="E23" s="123"/>
      <c r="F23" s="1010">
        <f t="shared" ref="F23:K23" si="5">SUM(F19:F22)</f>
        <v>0</v>
      </c>
      <c r="G23" s="1010">
        <f t="shared" si="5"/>
        <v>0</v>
      </c>
      <c r="H23" s="1010">
        <f t="shared" si="5"/>
        <v>1649310.1243467357</v>
      </c>
      <c r="I23" s="1010">
        <f t="shared" si="5"/>
        <v>3148598.0272022914</v>
      </c>
      <c r="J23" s="1010">
        <f t="shared" si="5"/>
        <v>4367645.1816391181</v>
      </c>
      <c r="K23" s="1010">
        <f t="shared" si="5"/>
        <v>5811262.2841949677</v>
      </c>
      <c r="L23" s="1010">
        <f t="shared" ref="L23" si="6">SUM(L19:L22)</f>
        <v>7260696.8227541083</v>
      </c>
      <c r="M23" s="425"/>
    </row>
    <row r="24" spans="2:21" x14ac:dyDescent="0.3">
      <c r="B24" s="422"/>
      <c r="C24" s="122"/>
      <c r="D24" s="123"/>
      <c r="E24" s="123"/>
      <c r="F24" s="123"/>
      <c r="G24" s="123"/>
      <c r="H24" s="123"/>
      <c r="I24" s="123"/>
      <c r="J24" s="123"/>
      <c r="K24" s="123"/>
      <c r="L24" s="123"/>
      <c r="M24" s="425"/>
    </row>
    <row r="25" spans="2:21" x14ac:dyDescent="0.3">
      <c r="B25" s="422"/>
      <c r="C25" s="122"/>
      <c r="D25" s="476" t="s">
        <v>356</v>
      </c>
      <c r="E25" s="527"/>
      <c r="F25" s="1011">
        <f t="shared" ref="F25:K25" si="7">F17+F23</f>
        <v>0</v>
      </c>
      <c r="G25" s="1011">
        <f t="shared" si="7"/>
        <v>-43750</v>
      </c>
      <c r="H25" s="1011">
        <f t="shared" si="7"/>
        <v>1561810.1243467357</v>
      </c>
      <c r="I25" s="1011">
        <f t="shared" si="7"/>
        <v>3017348.0272022914</v>
      </c>
      <c r="J25" s="1011">
        <f t="shared" si="7"/>
        <v>4367645.1816391181</v>
      </c>
      <c r="K25" s="1011">
        <f t="shared" si="7"/>
        <v>5767512.2841949677</v>
      </c>
      <c r="L25" s="1011">
        <f t="shared" ref="L25" si="8">L17+L23</f>
        <v>7173196.8227541083</v>
      </c>
      <c r="M25" s="425"/>
    </row>
    <row r="26" spans="2:21" x14ac:dyDescent="0.3">
      <c r="B26" s="422"/>
      <c r="C26" s="447"/>
      <c r="D26" s="448"/>
      <c r="E26" s="529"/>
      <c r="F26" s="529"/>
      <c r="G26" s="529"/>
      <c r="H26" s="547"/>
      <c r="I26" s="547"/>
      <c r="J26" s="547"/>
      <c r="K26" s="547"/>
      <c r="L26" s="547"/>
      <c r="M26" s="425"/>
      <c r="O26" s="444"/>
      <c r="Q26" s="399"/>
      <c r="R26" s="399"/>
      <c r="S26" s="399"/>
      <c r="T26" s="399"/>
      <c r="U26" s="399"/>
    </row>
    <row r="27" spans="2:21" x14ac:dyDescent="0.3">
      <c r="B27" s="422"/>
      <c r="C27" s="423"/>
      <c r="D27" s="423"/>
      <c r="E27" s="501"/>
      <c r="F27" s="501"/>
      <c r="G27" s="501"/>
      <c r="H27" s="539"/>
      <c r="I27" s="539"/>
      <c r="J27" s="539"/>
      <c r="K27" s="539"/>
      <c r="L27" s="539"/>
      <c r="M27" s="425"/>
      <c r="O27" s="444"/>
      <c r="Q27" s="399"/>
      <c r="R27" s="399"/>
      <c r="S27" s="399"/>
      <c r="T27" s="399"/>
      <c r="U27" s="399"/>
    </row>
    <row r="28" spans="2:21" x14ac:dyDescent="0.3">
      <c r="B28" s="422"/>
      <c r="C28" s="435"/>
      <c r="D28" s="436"/>
      <c r="E28" s="548"/>
      <c r="F28" s="548"/>
      <c r="G28" s="548"/>
      <c r="H28" s="548"/>
      <c r="I28" s="548"/>
      <c r="J28" s="548"/>
      <c r="K28" s="548"/>
      <c r="L28" s="548"/>
      <c r="M28" s="425"/>
      <c r="O28" s="444"/>
      <c r="Q28" s="399"/>
      <c r="R28" s="399"/>
      <c r="S28" s="399"/>
      <c r="T28" s="399"/>
      <c r="U28" s="399"/>
    </row>
    <row r="29" spans="2:21" x14ac:dyDescent="0.3">
      <c r="B29" s="422"/>
      <c r="C29" s="122"/>
      <c r="D29" s="872" t="s">
        <v>357</v>
      </c>
      <c r="E29" s="123"/>
      <c r="F29" s="527"/>
      <c r="G29" s="527"/>
      <c r="H29" s="549"/>
      <c r="I29" s="549"/>
      <c r="J29" s="549"/>
      <c r="K29" s="549"/>
      <c r="L29" s="549"/>
      <c r="M29" s="425"/>
      <c r="O29" s="444"/>
      <c r="Q29" s="399"/>
      <c r="R29" s="399"/>
      <c r="S29" s="399"/>
      <c r="T29" s="399"/>
      <c r="U29" s="399"/>
    </row>
    <row r="30" spans="2:21" x14ac:dyDescent="0.3">
      <c r="B30" s="184"/>
      <c r="C30" s="205"/>
      <c r="D30" s="123"/>
      <c r="E30" s="527"/>
      <c r="F30" s="527"/>
      <c r="G30" s="527"/>
      <c r="H30" s="549"/>
      <c r="I30" s="549"/>
      <c r="J30" s="549"/>
      <c r="K30" s="549"/>
      <c r="L30" s="549"/>
      <c r="M30" s="425"/>
      <c r="O30" s="444"/>
      <c r="Q30" s="399"/>
      <c r="R30" s="399"/>
      <c r="S30" s="399"/>
      <c r="T30" s="399"/>
      <c r="U30" s="399"/>
    </row>
    <row r="31" spans="2:21" x14ac:dyDescent="0.3">
      <c r="B31" s="184"/>
      <c r="C31" s="205"/>
      <c r="D31" s="123" t="s">
        <v>416</v>
      </c>
      <c r="E31" s="527"/>
      <c r="F31" s="527"/>
      <c r="G31" s="527"/>
      <c r="H31" s="549"/>
      <c r="I31" s="549"/>
      <c r="J31" s="549"/>
      <c r="K31" s="549"/>
      <c r="L31" s="549"/>
      <c r="M31" s="425"/>
      <c r="O31" s="444"/>
      <c r="Q31" s="399"/>
      <c r="R31" s="399"/>
      <c r="S31" s="399"/>
      <c r="T31" s="399"/>
      <c r="U31" s="399"/>
    </row>
    <row r="32" spans="2:21" x14ac:dyDescent="0.3">
      <c r="B32" s="184"/>
      <c r="C32" s="205"/>
      <c r="D32" s="123" t="s">
        <v>352</v>
      </c>
      <c r="E32" s="527"/>
      <c r="F32" s="1013">
        <f>F25-(F33+F34+F35+F42+F46+F55)</f>
        <v>0</v>
      </c>
      <c r="G32" s="846">
        <f>F36+begr!F42-SUM(G33:G35)</f>
        <v>-43750</v>
      </c>
      <c r="H32" s="846">
        <f>G36+begr!G42-SUM(H33:H35)</f>
        <v>1561810.1243467357</v>
      </c>
      <c r="I32" s="846">
        <f>H36+begr!H42-SUM(I33:I35)</f>
        <v>3017348.0272022914</v>
      </c>
      <c r="J32" s="846">
        <f>I36+begr!I42-SUM(J33:J35)</f>
        <v>4367645.1816391181</v>
      </c>
      <c r="K32" s="846">
        <f>J36+begr!J42-SUM(K33:K35)</f>
        <v>5767512.2841949677</v>
      </c>
      <c r="L32" s="846">
        <f>K36+begr!K42-SUM(L33:L35)</f>
        <v>7173196.8227541083</v>
      </c>
      <c r="M32" s="425"/>
      <c r="O32" s="444"/>
      <c r="Q32" s="399"/>
      <c r="R32" s="399"/>
      <c r="S32" s="399"/>
      <c r="T32" s="399"/>
      <c r="U32" s="399"/>
    </row>
    <row r="33" spans="2:21" x14ac:dyDescent="0.3">
      <c r="B33" s="184"/>
      <c r="C33" s="205"/>
      <c r="D33" s="797" t="s">
        <v>353</v>
      </c>
      <c r="E33" s="527"/>
      <c r="F33" s="473">
        <v>0</v>
      </c>
      <c r="G33" s="473">
        <v>0</v>
      </c>
      <c r="H33" s="473">
        <f>G33</f>
        <v>0</v>
      </c>
      <c r="I33" s="473">
        <f t="shared" ref="I33:L35" si="9">H33</f>
        <v>0</v>
      </c>
      <c r="J33" s="473">
        <f t="shared" si="9"/>
        <v>0</v>
      </c>
      <c r="K33" s="473">
        <f t="shared" si="9"/>
        <v>0</v>
      </c>
      <c r="L33" s="473">
        <f t="shared" si="9"/>
        <v>0</v>
      </c>
      <c r="M33" s="425"/>
      <c r="O33" s="444"/>
      <c r="Q33" s="399"/>
      <c r="R33" s="399"/>
      <c r="S33" s="399"/>
      <c r="T33" s="399"/>
      <c r="U33" s="399"/>
    </row>
    <row r="34" spans="2:21" x14ac:dyDescent="0.3">
      <c r="B34" s="184"/>
      <c r="C34" s="205"/>
      <c r="D34" s="797" t="s">
        <v>354</v>
      </c>
      <c r="E34" s="527"/>
      <c r="F34" s="473">
        <v>0</v>
      </c>
      <c r="G34" s="473">
        <v>0</v>
      </c>
      <c r="H34" s="473">
        <f>G34</f>
        <v>0</v>
      </c>
      <c r="I34" s="473">
        <f t="shared" si="9"/>
        <v>0</v>
      </c>
      <c r="J34" s="473">
        <f t="shared" si="9"/>
        <v>0</v>
      </c>
      <c r="K34" s="473">
        <f t="shared" si="9"/>
        <v>0</v>
      </c>
      <c r="L34" s="473">
        <f t="shared" si="9"/>
        <v>0</v>
      </c>
      <c r="M34" s="425"/>
      <c r="O34" s="444"/>
      <c r="Q34" s="399"/>
      <c r="R34" s="399"/>
      <c r="S34" s="399"/>
      <c r="T34" s="399"/>
      <c r="U34" s="399"/>
    </row>
    <row r="35" spans="2:21" x14ac:dyDescent="0.3">
      <c r="B35" s="184"/>
      <c r="C35" s="205"/>
      <c r="D35" s="797" t="s">
        <v>355</v>
      </c>
      <c r="E35" s="527"/>
      <c r="F35" s="473">
        <v>0</v>
      </c>
      <c r="G35" s="473">
        <v>0</v>
      </c>
      <c r="H35" s="473">
        <f>G35</f>
        <v>0</v>
      </c>
      <c r="I35" s="473">
        <f t="shared" si="9"/>
        <v>0</v>
      </c>
      <c r="J35" s="473">
        <f t="shared" si="9"/>
        <v>0</v>
      </c>
      <c r="K35" s="473">
        <f t="shared" si="9"/>
        <v>0</v>
      </c>
      <c r="L35" s="473">
        <f t="shared" si="9"/>
        <v>0</v>
      </c>
      <c r="M35" s="425"/>
      <c r="O35" s="444"/>
      <c r="Q35" s="399"/>
      <c r="R35" s="399"/>
      <c r="S35" s="399"/>
      <c r="T35" s="399"/>
      <c r="U35" s="399"/>
    </row>
    <row r="36" spans="2:21" x14ac:dyDescent="0.3">
      <c r="B36" s="422"/>
      <c r="C36" s="122"/>
      <c r="D36" s="487"/>
      <c r="E36" s="123"/>
      <c r="F36" s="1010">
        <f t="shared" ref="F36:K36" si="10">SUM(F32:F35)</f>
        <v>0</v>
      </c>
      <c r="G36" s="1010">
        <f t="shared" si="10"/>
        <v>-43750</v>
      </c>
      <c r="H36" s="1010">
        <f t="shared" si="10"/>
        <v>1561810.1243467357</v>
      </c>
      <c r="I36" s="1010">
        <f t="shared" si="10"/>
        <v>3017348.0272022914</v>
      </c>
      <c r="J36" s="1010">
        <f t="shared" si="10"/>
        <v>4367645.1816391181</v>
      </c>
      <c r="K36" s="1010">
        <f t="shared" si="10"/>
        <v>5767512.2841949677</v>
      </c>
      <c r="L36" s="1010">
        <f t="shared" ref="L36" si="11">SUM(L32:L35)</f>
        <v>7173196.8227541083</v>
      </c>
      <c r="M36" s="425"/>
    </row>
    <row r="37" spans="2:21" x14ac:dyDescent="0.3">
      <c r="B37" s="422"/>
      <c r="C37" s="122"/>
      <c r="D37" s="123" t="s">
        <v>417</v>
      </c>
      <c r="E37" s="123"/>
      <c r="F37" s="123"/>
      <c r="G37" s="123"/>
      <c r="H37" s="123"/>
      <c r="I37" s="123"/>
      <c r="J37" s="123"/>
      <c r="K37" s="123"/>
      <c r="L37" s="123"/>
      <c r="M37" s="425"/>
    </row>
    <row r="38" spans="2:21" x14ac:dyDescent="0.3">
      <c r="B38" s="422"/>
      <c r="C38" s="122"/>
      <c r="D38" s="96" t="s">
        <v>542</v>
      </c>
      <c r="E38" s="123"/>
      <c r="F38" s="846">
        <f>mop!E19</f>
        <v>0</v>
      </c>
      <c r="G38" s="846">
        <f>mop!F19</f>
        <v>0</v>
      </c>
      <c r="H38" s="846">
        <f>mop!G19</f>
        <v>0</v>
      </c>
      <c r="I38" s="846">
        <f>mop!H19</f>
        <v>0</v>
      </c>
      <c r="J38" s="846">
        <f>mop!I19</f>
        <v>0</v>
      </c>
      <c r="K38" s="846">
        <f>mop!J19</f>
        <v>0</v>
      </c>
      <c r="L38" s="846">
        <f>mop!K19</f>
        <v>0</v>
      </c>
      <c r="M38" s="425"/>
    </row>
    <row r="39" spans="2:21" s="12" customFormat="1" x14ac:dyDescent="0.3">
      <c r="B39" s="72"/>
      <c r="C39" s="550"/>
      <c r="D39" s="96" t="s">
        <v>543</v>
      </c>
      <c r="E39" s="123"/>
      <c r="F39" s="473">
        <v>0</v>
      </c>
      <c r="G39" s="473">
        <v>0</v>
      </c>
      <c r="H39" s="473">
        <v>0</v>
      </c>
      <c r="I39" s="473">
        <v>0</v>
      </c>
      <c r="J39" s="473">
        <v>0</v>
      </c>
      <c r="K39" s="473">
        <v>0</v>
      </c>
      <c r="L39" s="473">
        <v>0</v>
      </c>
      <c r="M39" s="76"/>
      <c r="N39" s="415"/>
    </row>
    <row r="40" spans="2:21" s="12" customFormat="1" x14ac:dyDescent="0.3">
      <c r="B40" s="72"/>
      <c r="C40" s="550"/>
      <c r="D40" s="96" t="s">
        <v>544</v>
      </c>
      <c r="E40" s="123"/>
      <c r="F40" s="473">
        <v>0</v>
      </c>
      <c r="G40" s="473">
        <v>0</v>
      </c>
      <c r="H40" s="473">
        <v>0</v>
      </c>
      <c r="I40" s="473">
        <v>0</v>
      </c>
      <c r="J40" s="473">
        <v>0</v>
      </c>
      <c r="K40" s="473">
        <v>0</v>
      </c>
      <c r="L40" s="473">
        <v>0</v>
      </c>
      <c r="M40" s="76"/>
      <c r="N40" s="415"/>
    </row>
    <row r="41" spans="2:21" s="12" customFormat="1" x14ac:dyDescent="0.3">
      <c r="B41" s="72"/>
      <c r="C41" s="550"/>
      <c r="D41" s="96" t="s">
        <v>387</v>
      </c>
      <c r="E41" s="123"/>
      <c r="F41" s="473">
        <v>0</v>
      </c>
      <c r="G41" s="473">
        <v>0</v>
      </c>
      <c r="H41" s="473">
        <f>G41</f>
        <v>0</v>
      </c>
      <c r="I41" s="473">
        <f>H41</f>
        <v>0</v>
      </c>
      <c r="J41" s="473">
        <f>I41</f>
        <v>0</v>
      </c>
      <c r="K41" s="473">
        <f>J41</f>
        <v>0</v>
      </c>
      <c r="L41" s="473">
        <f>K41</f>
        <v>0</v>
      </c>
      <c r="M41" s="76"/>
      <c r="N41" s="415"/>
    </row>
    <row r="42" spans="2:21" x14ac:dyDescent="0.3">
      <c r="B42" s="422"/>
      <c r="C42" s="122"/>
      <c r="D42" s="487"/>
      <c r="E42" s="123"/>
      <c r="F42" s="1010">
        <f t="shared" ref="F42:K42" si="12">SUM(F38:F41)</f>
        <v>0</v>
      </c>
      <c r="G42" s="1010">
        <f t="shared" si="12"/>
        <v>0</v>
      </c>
      <c r="H42" s="1010">
        <f t="shared" si="12"/>
        <v>0</v>
      </c>
      <c r="I42" s="1010">
        <f t="shared" si="12"/>
        <v>0</v>
      </c>
      <c r="J42" s="1010">
        <f t="shared" si="12"/>
        <v>0</v>
      </c>
      <c r="K42" s="1010">
        <f t="shared" si="12"/>
        <v>0</v>
      </c>
      <c r="L42" s="1010">
        <f t="shared" ref="L42" si="13">SUM(L38:L41)</f>
        <v>0</v>
      </c>
      <c r="M42" s="425"/>
    </row>
    <row r="43" spans="2:21" x14ac:dyDescent="0.3">
      <c r="B43" s="422"/>
      <c r="C43" s="122"/>
      <c r="D43" s="123" t="s">
        <v>418</v>
      </c>
      <c r="E43" s="123"/>
      <c r="F43" s="123"/>
      <c r="G43" s="123"/>
      <c r="H43" s="546"/>
      <c r="I43" s="546"/>
      <c r="J43" s="546"/>
      <c r="K43" s="546"/>
      <c r="L43" s="546"/>
      <c r="M43" s="425"/>
    </row>
    <row r="44" spans="2:21" x14ac:dyDescent="0.3">
      <c r="B44" s="422"/>
      <c r="C44" s="122"/>
      <c r="D44" s="123" t="s">
        <v>248</v>
      </c>
      <c r="E44" s="123"/>
      <c r="F44" s="473">
        <v>0</v>
      </c>
      <c r="G44" s="473">
        <v>0</v>
      </c>
      <c r="H44" s="473">
        <f>G44</f>
        <v>0</v>
      </c>
      <c r="I44" s="473">
        <f t="shared" ref="I44:L45" si="14">H44</f>
        <v>0</v>
      </c>
      <c r="J44" s="473">
        <f t="shared" si="14"/>
        <v>0</v>
      </c>
      <c r="K44" s="473">
        <f t="shared" si="14"/>
        <v>0</v>
      </c>
      <c r="L44" s="473">
        <f t="shared" si="14"/>
        <v>0</v>
      </c>
      <c r="M44" s="425"/>
    </row>
    <row r="45" spans="2:21" x14ac:dyDescent="0.3">
      <c r="B45" s="422"/>
      <c r="C45" s="122"/>
      <c r="D45" s="123" t="s">
        <v>249</v>
      </c>
      <c r="E45" s="123"/>
      <c r="F45" s="473">
        <v>0</v>
      </c>
      <c r="G45" s="473">
        <v>0</v>
      </c>
      <c r="H45" s="473">
        <f>G45</f>
        <v>0</v>
      </c>
      <c r="I45" s="473">
        <f t="shared" si="14"/>
        <v>0</v>
      </c>
      <c r="J45" s="473">
        <f t="shared" si="14"/>
        <v>0</v>
      </c>
      <c r="K45" s="473">
        <f t="shared" si="14"/>
        <v>0</v>
      </c>
      <c r="L45" s="473">
        <f t="shared" si="14"/>
        <v>0</v>
      </c>
      <c r="M45" s="425"/>
    </row>
    <row r="46" spans="2:21" x14ac:dyDescent="0.3">
      <c r="B46" s="422"/>
      <c r="C46" s="122"/>
      <c r="D46" s="476"/>
      <c r="E46" s="123"/>
      <c r="F46" s="1010">
        <f t="shared" ref="F46:K46" si="15">SUM(F44:F45)</f>
        <v>0</v>
      </c>
      <c r="G46" s="1010">
        <f t="shared" si="15"/>
        <v>0</v>
      </c>
      <c r="H46" s="1010">
        <f t="shared" si="15"/>
        <v>0</v>
      </c>
      <c r="I46" s="1010">
        <f t="shared" si="15"/>
        <v>0</v>
      </c>
      <c r="J46" s="1010">
        <f t="shared" si="15"/>
        <v>0</v>
      </c>
      <c r="K46" s="1010">
        <f t="shared" si="15"/>
        <v>0</v>
      </c>
      <c r="L46" s="1010">
        <f t="shared" ref="L46" si="16">SUM(L44:L45)</f>
        <v>0</v>
      </c>
      <c r="M46" s="425"/>
    </row>
    <row r="47" spans="2:21" x14ac:dyDescent="0.3">
      <c r="B47" s="422"/>
      <c r="C47" s="122"/>
      <c r="D47" s="123" t="s">
        <v>419</v>
      </c>
      <c r="E47" s="123"/>
      <c r="F47" s="123"/>
      <c r="G47" s="123"/>
      <c r="H47" s="546"/>
      <c r="I47" s="546"/>
      <c r="J47" s="546"/>
      <c r="K47" s="546"/>
      <c r="L47" s="546"/>
      <c r="M47" s="425"/>
    </row>
    <row r="48" spans="2:21" x14ac:dyDescent="0.3">
      <c r="B48" s="422"/>
      <c r="C48" s="122"/>
      <c r="D48" s="123" t="s">
        <v>248</v>
      </c>
      <c r="E48" s="123"/>
      <c r="F48" s="473">
        <v>0</v>
      </c>
      <c r="G48" s="473">
        <v>0</v>
      </c>
      <c r="H48" s="473">
        <f t="shared" ref="H48:H54" si="17">G48</f>
        <v>0</v>
      </c>
      <c r="I48" s="473">
        <f t="shared" ref="I48:L52" si="18">H48</f>
        <v>0</v>
      </c>
      <c r="J48" s="473">
        <f t="shared" si="18"/>
        <v>0</v>
      </c>
      <c r="K48" s="473">
        <f t="shared" si="18"/>
        <v>0</v>
      </c>
      <c r="L48" s="473">
        <f t="shared" si="18"/>
        <v>0</v>
      </c>
      <c r="M48" s="425"/>
    </row>
    <row r="49" spans="2:13" x14ac:dyDescent="0.3">
      <c r="B49" s="422"/>
      <c r="C49" s="122"/>
      <c r="D49" s="123" t="s">
        <v>177</v>
      </c>
      <c r="E49" s="123"/>
      <c r="F49" s="473">
        <v>0</v>
      </c>
      <c r="G49" s="473">
        <v>0</v>
      </c>
      <c r="H49" s="473">
        <f t="shared" si="17"/>
        <v>0</v>
      </c>
      <c r="I49" s="473">
        <f t="shared" si="18"/>
        <v>0</v>
      </c>
      <c r="J49" s="473">
        <f t="shared" si="18"/>
        <v>0</v>
      </c>
      <c r="K49" s="473">
        <f t="shared" si="18"/>
        <v>0</v>
      </c>
      <c r="L49" s="473">
        <f t="shared" si="18"/>
        <v>0</v>
      </c>
      <c r="M49" s="425"/>
    </row>
    <row r="50" spans="2:13" x14ac:dyDescent="0.3">
      <c r="B50" s="422"/>
      <c r="C50" s="122"/>
      <c r="D50" s="123" t="s">
        <v>247</v>
      </c>
      <c r="E50" s="123"/>
      <c r="F50" s="473">
        <v>0</v>
      </c>
      <c r="G50" s="473">
        <v>0</v>
      </c>
      <c r="H50" s="473">
        <f t="shared" si="17"/>
        <v>0</v>
      </c>
      <c r="I50" s="473">
        <f t="shared" si="18"/>
        <v>0</v>
      </c>
      <c r="J50" s="473">
        <f t="shared" si="18"/>
        <v>0</v>
      </c>
      <c r="K50" s="473">
        <f t="shared" si="18"/>
        <v>0</v>
      </c>
      <c r="L50" s="473">
        <f t="shared" si="18"/>
        <v>0</v>
      </c>
      <c r="M50" s="425"/>
    </row>
    <row r="51" spans="2:13" x14ac:dyDescent="0.3">
      <c r="B51" s="422"/>
      <c r="C51" s="122"/>
      <c r="D51" s="123" t="s">
        <v>250</v>
      </c>
      <c r="E51" s="123"/>
      <c r="F51" s="473">
        <v>0</v>
      </c>
      <c r="G51" s="473">
        <v>0</v>
      </c>
      <c r="H51" s="473">
        <f t="shared" si="17"/>
        <v>0</v>
      </c>
      <c r="I51" s="473">
        <f t="shared" si="18"/>
        <v>0</v>
      </c>
      <c r="J51" s="473">
        <f t="shared" si="18"/>
        <v>0</v>
      </c>
      <c r="K51" s="473">
        <f t="shared" si="18"/>
        <v>0</v>
      </c>
      <c r="L51" s="473">
        <f t="shared" si="18"/>
        <v>0</v>
      </c>
      <c r="M51" s="425"/>
    </row>
    <row r="52" spans="2:13" x14ac:dyDescent="0.3">
      <c r="B52" s="422"/>
      <c r="C52" s="122"/>
      <c r="D52" s="123" t="s">
        <v>251</v>
      </c>
      <c r="E52" s="123"/>
      <c r="F52" s="473">
        <v>0</v>
      </c>
      <c r="G52" s="473">
        <v>0</v>
      </c>
      <c r="H52" s="473">
        <f t="shared" si="17"/>
        <v>0</v>
      </c>
      <c r="I52" s="473">
        <f t="shared" si="18"/>
        <v>0</v>
      </c>
      <c r="J52" s="473">
        <f t="shared" si="18"/>
        <v>0</v>
      </c>
      <c r="K52" s="473">
        <f t="shared" si="18"/>
        <v>0</v>
      </c>
      <c r="L52" s="473">
        <f t="shared" si="18"/>
        <v>0</v>
      </c>
      <c r="M52" s="425"/>
    </row>
    <row r="53" spans="2:13" x14ac:dyDescent="0.3">
      <c r="B53" s="422"/>
      <c r="C53" s="122"/>
      <c r="D53" s="123" t="s">
        <v>252</v>
      </c>
      <c r="E53" s="123"/>
      <c r="F53" s="473">
        <v>0</v>
      </c>
      <c r="G53" s="473">
        <v>0</v>
      </c>
      <c r="H53" s="473">
        <f t="shared" si="17"/>
        <v>0</v>
      </c>
      <c r="I53" s="473">
        <f t="shared" ref="I53:L54" si="19">H53</f>
        <v>0</v>
      </c>
      <c r="J53" s="473">
        <f t="shared" si="19"/>
        <v>0</v>
      </c>
      <c r="K53" s="473">
        <f t="shared" si="19"/>
        <v>0</v>
      </c>
      <c r="L53" s="473">
        <f t="shared" si="19"/>
        <v>0</v>
      </c>
      <c r="M53" s="425"/>
    </row>
    <row r="54" spans="2:13" x14ac:dyDescent="0.3">
      <c r="B54" s="422"/>
      <c r="C54" s="122"/>
      <c r="D54" s="123" t="s">
        <v>253</v>
      </c>
      <c r="E54" s="123"/>
      <c r="F54" s="473">
        <v>0</v>
      </c>
      <c r="G54" s="473">
        <v>0</v>
      </c>
      <c r="H54" s="473">
        <f t="shared" si="17"/>
        <v>0</v>
      </c>
      <c r="I54" s="473">
        <f t="shared" si="19"/>
        <v>0</v>
      </c>
      <c r="J54" s="473">
        <f t="shared" si="19"/>
        <v>0</v>
      </c>
      <c r="K54" s="473">
        <f t="shared" si="19"/>
        <v>0</v>
      </c>
      <c r="L54" s="473">
        <f t="shared" si="19"/>
        <v>0</v>
      </c>
      <c r="M54" s="425"/>
    </row>
    <row r="55" spans="2:13" x14ac:dyDescent="0.3">
      <c r="B55" s="422"/>
      <c r="C55" s="122"/>
      <c r="D55" s="476"/>
      <c r="E55" s="123"/>
      <c r="F55" s="1010">
        <f t="shared" ref="F55:K55" si="20">SUM(F48:F54)</f>
        <v>0</v>
      </c>
      <c r="G55" s="1010">
        <f t="shared" si="20"/>
        <v>0</v>
      </c>
      <c r="H55" s="1010">
        <f t="shared" si="20"/>
        <v>0</v>
      </c>
      <c r="I55" s="1010">
        <f t="shared" si="20"/>
        <v>0</v>
      </c>
      <c r="J55" s="1010">
        <f t="shared" si="20"/>
        <v>0</v>
      </c>
      <c r="K55" s="1010">
        <f t="shared" si="20"/>
        <v>0</v>
      </c>
      <c r="L55" s="1010">
        <f t="shared" ref="L55" si="21">SUM(L48:L54)</f>
        <v>0</v>
      </c>
      <c r="M55" s="425"/>
    </row>
    <row r="56" spans="2:13" x14ac:dyDescent="0.3">
      <c r="B56" s="422"/>
      <c r="C56" s="122"/>
      <c r="D56" s="123"/>
      <c r="E56" s="123"/>
      <c r="F56" s="123"/>
      <c r="G56" s="123"/>
      <c r="H56" s="123"/>
      <c r="I56" s="123"/>
      <c r="J56" s="123"/>
      <c r="K56" s="123"/>
      <c r="L56" s="123"/>
      <c r="M56" s="425"/>
    </row>
    <row r="57" spans="2:13" x14ac:dyDescent="0.3">
      <c r="B57" s="422"/>
      <c r="C57" s="122"/>
      <c r="D57" s="476" t="s">
        <v>358</v>
      </c>
      <c r="E57" s="123"/>
      <c r="F57" s="1011">
        <f t="shared" ref="F57:K57" si="22">F36+F42+F46+F55</f>
        <v>0</v>
      </c>
      <c r="G57" s="1011">
        <f>G36+G42+G46+G55</f>
        <v>-43750</v>
      </c>
      <c r="H57" s="1011">
        <f t="shared" si="22"/>
        <v>1561810.1243467357</v>
      </c>
      <c r="I57" s="1011">
        <f t="shared" si="22"/>
        <v>3017348.0272022914</v>
      </c>
      <c r="J57" s="1011">
        <f t="shared" si="22"/>
        <v>4367645.1816391181</v>
      </c>
      <c r="K57" s="1011">
        <f t="shared" si="22"/>
        <v>5767512.2841949677</v>
      </c>
      <c r="L57" s="1011">
        <f t="shared" ref="L57" si="23">L36+L42+L46+L55</f>
        <v>7173196.8227541083</v>
      </c>
      <c r="M57" s="425"/>
    </row>
    <row r="58" spans="2:13" x14ac:dyDescent="0.3">
      <c r="B58" s="422"/>
      <c r="C58" s="447"/>
      <c r="D58" s="551"/>
      <c r="E58" s="448"/>
      <c r="F58" s="552"/>
      <c r="G58" s="552"/>
      <c r="H58" s="552"/>
      <c r="I58" s="552"/>
      <c r="J58" s="552"/>
      <c r="K58" s="552"/>
      <c r="L58" s="552"/>
      <c r="M58" s="425"/>
    </row>
    <row r="59" spans="2:13" x14ac:dyDescent="0.3">
      <c r="B59" s="422"/>
      <c r="C59" s="423"/>
      <c r="D59" s="553"/>
      <c r="E59" s="423"/>
      <c r="F59" s="554"/>
      <c r="G59" s="554"/>
      <c r="H59" s="554"/>
      <c r="I59" s="554"/>
      <c r="J59" s="554"/>
      <c r="K59" s="554"/>
      <c r="L59" s="554"/>
      <c r="M59" s="425"/>
    </row>
    <row r="60" spans="2:13" x14ac:dyDescent="0.3">
      <c r="B60" s="452"/>
      <c r="C60" s="453"/>
      <c r="D60" s="555"/>
      <c r="E60" s="453"/>
      <c r="F60" s="453"/>
      <c r="G60" s="453"/>
      <c r="H60" s="556"/>
      <c r="I60" s="556"/>
      <c r="J60" s="556"/>
      <c r="K60" s="556"/>
      <c r="L60" s="556"/>
      <c r="M60" s="454"/>
    </row>
  </sheetData>
  <sheetProtection algorithmName="SHA-512" hashValue="c2W6jafznBrKje/nKkljdYCiWWCclNBnN6KB/gKtTlom7Z/On7hM4Au0GTATFA5k/+4kaPY1FXYJ9n8Z/4dArQ==" saltValue="AnjwOh/yVaHvAMsRc5gJMg=="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61" min="1" max="13" man="1"/>
  </rowBreaks>
  <colBreaks count="1" manualBreakCount="1">
    <brk id="22"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B1:P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09375" defaultRowHeight="13.8" x14ac:dyDescent="0.3"/>
  <cols>
    <col min="1" max="1" width="3.6640625" style="8" customWidth="1"/>
    <col min="2" max="3" width="2.6640625" style="8" customWidth="1"/>
    <col min="4" max="4" width="45.6640625" style="8" customWidth="1"/>
    <col min="5" max="5" width="2.6640625" style="8" customWidth="1"/>
    <col min="6" max="11" width="14.6640625" style="15" customWidth="1"/>
    <col min="12" max="12" width="2.6640625" style="8" customWidth="1"/>
    <col min="13" max="13" width="11.44140625" style="153" customWidth="1"/>
    <col min="14" max="14" width="33.6640625" style="8" customWidth="1"/>
    <col min="15" max="15" width="2.5546875" style="8" customWidth="1"/>
    <col min="16" max="20" width="10.6640625" style="8" customWidth="1"/>
    <col min="21" max="21" width="2.6640625" style="8" customWidth="1"/>
    <col min="22" max="16384" width="9.109375" style="8"/>
  </cols>
  <sheetData>
    <row r="1" spans="2:16" ht="12" customHeight="1" x14ac:dyDescent="0.3"/>
    <row r="2" spans="2:16" x14ac:dyDescent="0.3">
      <c r="B2" s="418"/>
      <c r="C2" s="419"/>
      <c r="D2" s="419"/>
      <c r="E2" s="538"/>
      <c r="F2" s="538"/>
      <c r="G2" s="538"/>
      <c r="H2" s="538"/>
      <c r="I2" s="538"/>
      <c r="J2" s="538"/>
      <c r="K2" s="538"/>
      <c r="L2" s="421"/>
    </row>
    <row r="3" spans="2:16" x14ac:dyDescent="0.3">
      <c r="B3" s="422"/>
      <c r="C3" s="423"/>
      <c r="D3" s="423"/>
      <c r="E3" s="539"/>
      <c r="F3" s="539"/>
      <c r="G3" s="539"/>
      <c r="H3" s="539"/>
      <c r="I3" s="539"/>
      <c r="J3" s="539"/>
      <c r="K3" s="539"/>
      <c r="L3" s="425"/>
    </row>
    <row r="4" spans="2:16" ht="18" x14ac:dyDescent="0.35">
      <c r="B4" s="491"/>
      <c r="C4" s="833" t="s">
        <v>296</v>
      </c>
      <c r="D4" s="73"/>
      <c r="E4" s="157"/>
      <c r="F4" s="308"/>
      <c r="G4" s="308"/>
      <c r="H4" s="157"/>
      <c r="I4" s="157"/>
      <c r="J4" s="157"/>
      <c r="K4" s="157"/>
      <c r="L4" s="76"/>
    </row>
    <row r="5" spans="2:16" ht="18" x14ac:dyDescent="0.35">
      <c r="B5" s="557"/>
      <c r="C5" s="319" t="str">
        <f>geg!F11</f>
        <v>Voorbeeldschool</v>
      </c>
      <c r="D5" s="430"/>
      <c r="E5" s="558"/>
      <c r="F5" s="559"/>
      <c r="G5" s="559"/>
      <c r="H5" s="558"/>
      <c r="I5" s="558"/>
      <c r="J5" s="558"/>
      <c r="K5" s="558"/>
      <c r="L5" s="560"/>
    </row>
    <row r="6" spans="2:16" x14ac:dyDescent="0.3">
      <c r="B6" s="184"/>
      <c r="C6" s="189"/>
      <c r="D6" s="423"/>
      <c r="E6" s="539"/>
      <c r="F6" s="539"/>
      <c r="G6" s="539"/>
      <c r="H6" s="539"/>
      <c r="I6" s="539"/>
      <c r="J6" s="539"/>
      <c r="K6" s="539"/>
      <c r="L6" s="425"/>
    </row>
    <row r="7" spans="2:16" x14ac:dyDescent="0.3">
      <c r="B7" s="184"/>
      <c r="C7" s="189"/>
      <c r="D7" s="423"/>
      <c r="E7" s="539"/>
      <c r="F7" s="539"/>
      <c r="G7" s="539"/>
      <c r="H7" s="539"/>
      <c r="I7" s="539"/>
      <c r="J7" s="539"/>
      <c r="K7" s="539"/>
      <c r="L7" s="425"/>
    </row>
    <row r="8" spans="2:16" x14ac:dyDescent="0.3">
      <c r="B8" s="184"/>
      <c r="C8" s="189"/>
      <c r="D8" s="423"/>
      <c r="E8" s="539"/>
      <c r="F8" s="539"/>
      <c r="G8" s="539"/>
      <c r="H8" s="539"/>
      <c r="I8" s="539"/>
      <c r="J8" s="539"/>
      <c r="K8" s="539"/>
      <c r="L8" s="425"/>
    </row>
    <row r="9" spans="2:16" x14ac:dyDescent="0.3">
      <c r="B9" s="432"/>
      <c r="C9" s="156"/>
      <c r="D9" s="465"/>
      <c r="E9" s="75"/>
      <c r="F9" s="871">
        <f>bal!F8</f>
        <v>2020</v>
      </c>
      <c r="G9" s="871">
        <f>bal!G8</f>
        <v>2021</v>
      </c>
      <c r="H9" s="871">
        <f>bal!H8</f>
        <v>2022</v>
      </c>
      <c r="I9" s="871">
        <f>bal!I8</f>
        <v>2023</v>
      </c>
      <c r="J9" s="871">
        <f>bal!J8</f>
        <v>2024</v>
      </c>
      <c r="K9" s="871">
        <f>bal!L8</f>
        <v>2026</v>
      </c>
      <c r="L9" s="76"/>
    </row>
    <row r="10" spans="2:16" x14ac:dyDescent="0.3">
      <c r="B10" s="485"/>
      <c r="C10" s="541"/>
      <c r="D10" s="519"/>
      <c r="E10" s="64"/>
      <c r="F10" s="64"/>
      <c r="G10" s="64"/>
      <c r="H10" s="64"/>
      <c r="I10" s="64"/>
      <c r="J10" s="64"/>
      <c r="K10" s="64"/>
      <c r="L10" s="425"/>
    </row>
    <row r="11" spans="2:16" x14ac:dyDescent="0.3">
      <c r="B11" s="422"/>
      <c r="C11" s="435"/>
      <c r="D11" s="436"/>
      <c r="E11" s="561"/>
      <c r="F11" s="561"/>
      <c r="G11" s="561"/>
      <c r="H11" s="561"/>
      <c r="I11" s="561"/>
      <c r="J11" s="561"/>
      <c r="K11" s="561"/>
      <c r="L11" s="425"/>
    </row>
    <row r="12" spans="2:16" x14ac:dyDescent="0.3">
      <c r="B12" s="485"/>
      <c r="C12" s="486"/>
      <c r="D12" s="872" t="s">
        <v>449</v>
      </c>
      <c r="E12" s="562"/>
      <c r="F12" s="1011">
        <f>bal!F22</f>
        <v>0</v>
      </c>
      <c r="G12" s="1011">
        <f>bal!G22</f>
        <v>0</v>
      </c>
      <c r="H12" s="1011">
        <f>G52</f>
        <v>1649310.12</v>
      </c>
      <c r="I12" s="1011">
        <f>H52</f>
        <v>3148598.02</v>
      </c>
      <c r="J12" s="1011">
        <f>I52</f>
        <v>4367645.17</v>
      </c>
      <c r="K12" s="1011">
        <f>J52</f>
        <v>5811262.2699999996</v>
      </c>
      <c r="L12" s="488"/>
    </row>
    <row r="13" spans="2:16" x14ac:dyDescent="0.3">
      <c r="B13" s="422"/>
      <c r="C13" s="447"/>
      <c r="D13" s="563"/>
      <c r="E13" s="547"/>
      <c r="F13" s="547"/>
      <c r="G13" s="547"/>
      <c r="H13" s="547"/>
      <c r="I13" s="547"/>
      <c r="J13" s="547"/>
      <c r="K13" s="547"/>
      <c r="L13" s="425"/>
    </row>
    <row r="14" spans="2:16" x14ac:dyDescent="0.3">
      <c r="B14" s="422"/>
      <c r="C14" s="423"/>
      <c r="D14" s="423"/>
      <c r="E14" s="539"/>
      <c r="F14" s="539"/>
      <c r="G14" s="539"/>
      <c r="H14" s="539"/>
      <c r="I14" s="539"/>
      <c r="J14" s="539"/>
      <c r="K14" s="539"/>
      <c r="L14" s="425"/>
    </row>
    <row r="15" spans="2:16" x14ac:dyDescent="0.3">
      <c r="B15" s="422"/>
      <c r="C15" s="435"/>
      <c r="D15" s="436"/>
      <c r="E15" s="561"/>
      <c r="F15" s="561"/>
      <c r="G15" s="561"/>
      <c r="H15" s="561"/>
      <c r="I15" s="561"/>
      <c r="J15" s="561"/>
      <c r="K15" s="561"/>
      <c r="L15" s="425"/>
    </row>
    <row r="16" spans="2:16" x14ac:dyDescent="0.3">
      <c r="B16" s="422"/>
      <c r="C16" s="122"/>
      <c r="D16" s="872" t="s">
        <v>288</v>
      </c>
      <c r="E16" s="549"/>
      <c r="F16" s="549"/>
      <c r="G16" s="549"/>
      <c r="H16" s="549"/>
      <c r="I16" s="549"/>
      <c r="J16" s="549"/>
      <c r="K16" s="549"/>
      <c r="L16" s="425"/>
      <c r="M16" s="154"/>
      <c r="N16" s="16"/>
      <c r="O16" s="16"/>
      <c r="P16" s="16"/>
    </row>
    <row r="17" spans="2:16" x14ac:dyDescent="0.3">
      <c r="B17" s="422"/>
      <c r="C17" s="122"/>
      <c r="D17" s="487"/>
      <c r="E17" s="549"/>
      <c r="F17" s="549"/>
      <c r="G17" s="549"/>
      <c r="H17" s="549"/>
      <c r="I17" s="549"/>
      <c r="J17" s="549"/>
      <c r="K17" s="549"/>
      <c r="L17" s="425"/>
      <c r="M17" s="154"/>
      <c r="N17" s="16"/>
      <c r="O17" s="16"/>
      <c r="P17" s="16"/>
    </row>
    <row r="18" spans="2:16" x14ac:dyDescent="0.3">
      <c r="B18" s="422"/>
      <c r="C18" s="122"/>
      <c r="D18" s="123" t="s">
        <v>135</v>
      </c>
      <c r="E18" s="549"/>
      <c r="F18" s="844">
        <f>begr!F42</f>
        <v>-43750</v>
      </c>
      <c r="G18" s="844">
        <f>begr!G42</f>
        <v>1605560.1243467357</v>
      </c>
      <c r="H18" s="844">
        <f>begr!H42</f>
        <v>1455537.9028555555</v>
      </c>
      <c r="I18" s="844">
        <f>begr!I42</f>
        <v>1350297.1544368265</v>
      </c>
      <c r="J18" s="844">
        <f>begr!J42</f>
        <v>1399867.1025558496</v>
      </c>
      <c r="K18" s="844">
        <f>begr!K42</f>
        <v>1405684.5385591409</v>
      </c>
      <c r="L18" s="425"/>
    </row>
    <row r="19" spans="2:16" x14ac:dyDescent="0.3">
      <c r="B19" s="422"/>
      <c r="C19" s="122"/>
      <c r="D19" s="123"/>
      <c r="E19" s="549"/>
      <c r="F19" s="549"/>
      <c r="G19" s="549"/>
      <c r="H19" s="549"/>
      <c r="I19" s="549"/>
      <c r="J19" s="549"/>
      <c r="K19" s="549"/>
      <c r="L19" s="425"/>
    </row>
    <row r="20" spans="2:16" x14ac:dyDescent="0.3">
      <c r="B20" s="422"/>
      <c r="C20" s="122"/>
      <c r="D20" s="123" t="s">
        <v>244</v>
      </c>
      <c r="E20" s="549"/>
      <c r="F20" s="846">
        <f>mat!H113</f>
        <v>43750</v>
      </c>
      <c r="G20" s="846">
        <f>mat!I113</f>
        <v>43750</v>
      </c>
      <c r="H20" s="846">
        <f>mat!J113</f>
        <v>43750</v>
      </c>
      <c r="I20" s="846">
        <f>mat!K113</f>
        <v>87500</v>
      </c>
      <c r="J20" s="846">
        <f>mat!L113</f>
        <v>43750</v>
      </c>
      <c r="K20" s="846">
        <f>mat!M113</f>
        <v>43750</v>
      </c>
      <c r="L20" s="425"/>
    </row>
    <row r="21" spans="2:16" x14ac:dyDescent="0.3">
      <c r="B21" s="422"/>
      <c r="C21" s="122"/>
      <c r="D21" s="123"/>
      <c r="E21" s="549"/>
      <c r="F21" s="546"/>
      <c r="G21" s="546"/>
      <c r="H21" s="546"/>
      <c r="I21" s="546"/>
      <c r="J21" s="546"/>
      <c r="K21" s="546"/>
      <c r="L21" s="425"/>
    </row>
    <row r="22" spans="2:16" x14ac:dyDescent="0.3">
      <c r="B22" s="422"/>
      <c r="C22" s="122"/>
      <c r="D22" s="564" t="s">
        <v>289</v>
      </c>
      <c r="E22" s="549"/>
      <c r="F22" s="546"/>
      <c r="G22" s="546"/>
      <c r="H22" s="546"/>
      <c r="I22" s="546"/>
      <c r="J22" s="546"/>
      <c r="K22" s="546"/>
      <c r="L22" s="425"/>
    </row>
    <row r="23" spans="2:16" x14ac:dyDescent="0.3">
      <c r="B23" s="422"/>
      <c r="C23" s="122"/>
      <c r="D23" s="123" t="s">
        <v>6</v>
      </c>
      <c r="E23" s="549"/>
      <c r="F23" s="846">
        <f>(bal!F19)-(bal!G19)</f>
        <v>0</v>
      </c>
      <c r="G23" s="846">
        <f>(bal!G19)-(bal!H19)</f>
        <v>0</v>
      </c>
      <c r="H23" s="846">
        <f>(bal!H19)-(bal!I19)</f>
        <v>0</v>
      </c>
      <c r="I23" s="846">
        <f>(bal!I19)-(bal!J19)</f>
        <v>0</v>
      </c>
      <c r="J23" s="846">
        <f>(bal!J19)-(bal!K19)</f>
        <v>0</v>
      </c>
      <c r="K23" s="846">
        <f>(bal!K19)-(bal!L19)</f>
        <v>0</v>
      </c>
      <c r="L23" s="425"/>
    </row>
    <row r="24" spans="2:16" x14ac:dyDescent="0.3">
      <c r="B24" s="422"/>
      <c r="C24" s="122"/>
      <c r="D24" s="123" t="s">
        <v>7</v>
      </c>
      <c r="E24" s="549"/>
      <c r="F24" s="846">
        <f>(bal!F20)-(bal!G20)</f>
        <v>0</v>
      </c>
      <c r="G24" s="846">
        <f>(bal!G20)-(bal!H20)</f>
        <v>0</v>
      </c>
      <c r="H24" s="846">
        <f>(bal!H20)-(bal!I20)</f>
        <v>0</v>
      </c>
      <c r="I24" s="846">
        <f>(bal!I20)-(bal!J20)</f>
        <v>0</v>
      </c>
      <c r="J24" s="846">
        <f>(bal!J20)-(bal!K20)</f>
        <v>0</v>
      </c>
      <c r="K24" s="846">
        <f>(bal!K20)-(bal!L20)</f>
        <v>0</v>
      </c>
      <c r="L24" s="425"/>
    </row>
    <row r="25" spans="2:16" x14ac:dyDescent="0.3">
      <c r="B25" s="422"/>
      <c r="C25" s="122"/>
      <c r="D25" s="123" t="s">
        <v>8</v>
      </c>
      <c r="E25" s="549"/>
      <c r="F25" s="846">
        <f>(bal!F21)-(bal!G21)</f>
        <v>0</v>
      </c>
      <c r="G25" s="846">
        <f>(bal!G21)-(bal!H21)</f>
        <v>0</v>
      </c>
      <c r="H25" s="846">
        <f>(bal!H21)-(bal!I21)</f>
        <v>0</v>
      </c>
      <c r="I25" s="846">
        <f>(bal!I21)-(bal!J21)</f>
        <v>0</v>
      </c>
      <c r="J25" s="846">
        <f>(bal!J21)-(bal!K21)</f>
        <v>0</v>
      </c>
      <c r="K25" s="846">
        <f>(bal!K21)-(bal!L21)</f>
        <v>0</v>
      </c>
      <c r="L25" s="425"/>
    </row>
    <row r="26" spans="2:16" x14ac:dyDescent="0.3">
      <c r="B26" s="422"/>
      <c r="C26" s="122"/>
      <c r="D26" s="123" t="s">
        <v>280</v>
      </c>
      <c r="E26" s="549"/>
      <c r="F26" s="846">
        <f>(bal!G55)-(bal!F55)</f>
        <v>0</v>
      </c>
      <c r="G26" s="846">
        <f>(bal!H55)-(bal!G55)</f>
        <v>0</v>
      </c>
      <c r="H26" s="846">
        <f>(bal!I55)-(bal!H55)</f>
        <v>0</v>
      </c>
      <c r="I26" s="846">
        <f>(bal!J55)-(bal!I55)</f>
        <v>0</v>
      </c>
      <c r="J26" s="846">
        <f>(bal!K55)-(bal!J55)</f>
        <v>0</v>
      </c>
      <c r="K26" s="846">
        <f>(bal!L55)-(bal!K55)</f>
        <v>0</v>
      </c>
      <c r="L26" s="425"/>
    </row>
    <row r="27" spans="2:16" x14ac:dyDescent="0.3">
      <c r="B27" s="422"/>
      <c r="C27" s="122"/>
      <c r="D27" s="123"/>
      <c r="E27" s="549"/>
      <c r="F27" s="1010">
        <f t="shared" ref="F27:K27" si="0">SUM(F23:F26)</f>
        <v>0</v>
      </c>
      <c r="G27" s="1010">
        <f t="shared" si="0"/>
        <v>0</v>
      </c>
      <c r="H27" s="1010">
        <f t="shared" si="0"/>
        <v>0</v>
      </c>
      <c r="I27" s="1010">
        <f t="shared" si="0"/>
        <v>0</v>
      </c>
      <c r="J27" s="1010">
        <f t="shared" si="0"/>
        <v>0</v>
      </c>
      <c r="K27" s="1010">
        <f t="shared" si="0"/>
        <v>0</v>
      </c>
      <c r="L27" s="425"/>
    </row>
    <row r="28" spans="2:16" x14ac:dyDescent="0.3">
      <c r="B28" s="422"/>
      <c r="C28" s="122"/>
      <c r="D28" s="565"/>
      <c r="E28" s="549"/>
      <c r="F28" s="546"/>
      <c r="G28" s="546"/>
      <c r="H28" s="546"/>
      <c r="I28" s="546"/>
      <c r="J28" s="546"/>
      <c r="K28" s="546"/>
      <c r="L28" s="425"/>
    </row>
    <row r="29" spans="2:16" x14ac:dyDescent="0.3">
      <c r="B29" s="422"/>
      <c r="C29" s="122"/>
      <c r="D29" s="123" t="s">
        <v>294</v>
      </c>
      <c r="E29" s="549"/>
      <c r="F29" s="846">
        <f>(bal!G42)-(bal!F42)</f>
        <v>0</v>
      </c>
      <c r="G29" s="846">
        <f>(bal!H42)-(bal!G42)</f>
        <v>0</v>
      </c>
      <c r="H29" s="846">
        <f>(bal!I42)-(bal!H42)</f>
        <v>0</v>
      </c>
      <c r="I29" s="846">
        <f>(bal!J42)-(bal!I42)</f>
        <v>0</v>
      </c>
      <c r="J29" s="846">
        <f>(bal!K42)-(bal!J42)</f>
        <v>0</v>
      </c>
      <c r="K29" s="846">
        <f>(bal!L42)-(bal!K42)</f>
        <v>0</v>
      </c>
      <c r="L29" s="425"/>
    </row>
    <row r="30" spans="2:16" x14ac:dyDescent="0.3">
      <c r="B30" s="422"/>
      <c r="C30" s="122"/>
      <c r="D30" s="123"/>
      <c r="E30" s="549"/>
      <c r="F30" s="546"/>
      <c r="G30" s="546"/>
      <c r="H30" s="546"/>
      <c r="I30" s="546"/>
      <c r="J30" s="546"/>
      <c r="K30" s="546"/>
      <c r="L30" s="425"/>
    </row>
    <row r="31" spans="2:16" x14ac:dyDescent="0.3">
      <c r="B31" s="422"/>
      <c r="C31" s="122"/>
      <c r="D31" s="487" t="s">
        <v>269</v>
      </c>
      <c r="E31" s="549"/>
      <c r="F31" s="1011">
        <f t="shared" ref="F31:K31" si="1">F18+F20+F27+F29</f>
        <v>0</v>
      </c>
      <c r="G31" s="1011">
        <f t="shared" si="1"/>
        <v>1649310.1243467357</v>
      </c>
      <c r="H31" s="1011">
        <f t="shared" si="1"/>
        <v>1499287.9028555555</v>
      </c>
      <c r="I31" s="1011">
        <f t="shared" si="1"/>
        <v>1437797.1544368265</v>
      </c>
      <c r="J31" s="1011">
        <f t="shared" si="1"/>
        <v>1443617.1025558496</v>
      </c>
      <c r="K31" s="1011">
        <f t="shared" si="1"/>
        <v>1449434.5385591409</v>
      </c>
      <c r="L31" s="425"/>
    </row>
    <row r="32" spans="2:16" x14ac:dyDescent="0.3">
      <c r="B32" s="422"/>
      <c r="C32" s="122"/>
      <c r="D32" s="123"/>
      <c r="E32" s="549"/>
      <c r="F32" s="546"/>
      <c r="G32" s="546"/>
      <c r="H32" s="546"/>
      <c r="I32" s="546"/>
      <c r="J32" s="546"/>
      <c r="K32" s="546"/>
      <c r="L32" s="425"/>
    </row>
    <row r="33" spans="2:12" x14ac:dyDescent="0.3">
      <c r="B33" s="422"/>
      <c r="C33" s="423"/>
      <c r="D33" s="423"/>
      <c r="E33" s="539"/>
      <c r="F33" s="539"/>
      <c r="G33" s="539"/>
      <c r="H33" s="539"/>
      <c r="I33" s="539"/>
      <c r="J33" s="539"/>
      <c r="K33" s="539"/>
      <c r="L33" s="425"/>
    </row>
    <row r="34" spans="2:12" x14ac:dyDescent="0.3">
      <c r="B34" s="422"/>
      <c r="C34" s="122"/>
      <c r="D34" s="123"/>
      <c r="E34" s="549"/>
      <c r="F34" s="546"/>
      <c r="G34" s="546"/>
      <c r="H34" s="546"/>
      <c r="I34" s="546"/>
      <c r="J34" s="546"/>
      <c r="K34" s="546"/>
      <c r="L34" s="425"/>
    </row>
    <row r="35" spans="2:12" x14ac:dyDescent="0.3">
      <c r="B35" s="422"/>
      <c r="C35" s="122"/>
      <c r="D35" s="872" t="s">
        <v>290</v>
      </c>
      <c r="E35" s="549"/>
      <c r="F35" s="546"/>
      <c r="G35" s="546"/>
      <c r="H35" s="546"/>
      <c r="I35" s="546"/>
      <c r="J35" s="546"/>
      <c r="K35" s="546"/>
      <c r="L35" s="425"/>
    </row>
    <row r="36" spans="2:12" x14ac:dyDescent="0.3">
      <c r="B36" s="422"/>
      <c r="C36" s="122"/>
      <c r="D36" s="487"/>
      <c r="E36" s="549"/>
      <c r="F36" s="546"/>
      <c r="G36" s="546"/>
      <c r="H36" s="546"/>
      <c r="I36" s="546"/>
      <c r="J36" s="546"/>
      <c r="K36" s="546"/>
      <c r="L36" s="425"/>
    </row>
    <row r="37" spans="2:12" x14ac:dyDescent="0.3">
      <c r="B37" s="422"/>
      <c r="C37" s="122"/>
      <c r="D37" s="123" t="s">
        <v>292</v>
      </c>
      <c r="E37" s="549"/>
      <c r="F37" s="846">
        <f>act!F29</f>
        <v>0</v>
      </c>
      <c r="G37" s="846">
        <f>act!G29</f>
        <v>0</v>
      </c>
      <c r="H37" s="846">
        <f>act!H29</f>
        <v>0</v>
      </c>
      <c r="I37" s="846">
        <f>act!I29</f>
        <v>218750</v>
      </c>
      <c r="J37" s="846">
        <f>act!J29</f>
        <v>0</v>
      </c>
      <c r="K37" s="846">
        <f>act!K29</f>
        <v>0</v>
      </c>
      <c r="L37" s="425"/>
    </row>
    <row r="38" spans="2:12" x14ac:dyDescent="0.3">
      <c r="B38" s="422"/>
      <c r="C38" s="122"/>
      <c r="D38" s="123" t="s">
        <v>291</v>
      </c>
      <c r="E38" s="549"/>
      <c r="F38" s="846">
        <f>(bal!G14)-(bal!F14)</f>
        <v>0</v>
      </c>
      <c r="G38" s="846">
        <f>(bal!H14)-(bal!G14)</f>
        <v>0</v>
      </c>
      <c r="H38" s="846">
        <f>(bal!I14)-(bal!H14)</f>
        <v>0</v>
      </c>
      <c r="I38" s="846">
        <f>(bal!J14)-(bal!I14)</f>
        <v>0</v>
      </c>
      <c r="J38" s="846">
        <f>(bal!K14)-(bal!J14)</f>
        <v>0</v>
      </c>
      <c r="K38" s="846">
        <f>(bal!L14)-(bal!K14)</f>
        <v>0</v>
      </c>
      <c r="L38" s="425"/>
    </row>
    <row r="39" spans="2:12" x14ac:dyDescent="0.3">
      <c r="B39" s="422"/>
      <c r="C39" s="122"/>
      <c r="D39" s="123" t="s">
        <v>293</v>
      </c>
      <c r="E39" s="549"/>
      <c r="F39" s="846">
        <f>(bal!G16)-(bal!F16)</f>
        <v>0</v>
      </c>
      <c r="G39" s="846">
        <f>(bal!H16)-(bal!G16)</f>
        <v>0</v>
      </c>
      <c r="H39" s="846">
        <f>(bal!I16)-(bal!H16)</f>
        <v>0</v>
      </c>
      <c r="I39" s="846">
        <f>(bal!J16)-(bal!I16)</f>
        <v>0</v>
      </c>
      <c r="J39" s="846">
        <f>(bal!K16)-(bal!J16)</f>
        <v>0</v>
      </c>
      <c r="K39" s="846">
        <f>(bal!L16)-(bal!K16)</f>
        <v>0</v>
      </c>
      <c r="L39" s="425"/>
    </row>
    <row r="40" spans="2:12" x14ac:dyDescent="0.3">
      <c r="B40" s="422"/>
      <c r="C40" s="122"/>
      <c r="D40" s="123"/>
      <c r="E40" s="549"/>
      <c r="F40" s="546"/>
      <c r="G40" s="546"/>
      <c r="H40" s="546"/>
      <c r="I40" s="546"/>
      <c r="J40" s="546"/>
      <c r="K40" s="546"/>
      <c r="L40" s="425"/>
    </row>
    <row r="41" spans="2:12" x14ac:dyDescent="0.3">
      <c r="B41" s="422"/>
      <c r="C41" s="122"/>
      <c r="D41" s="487" t="s">
        <v>269</v>
      </c>
      <c r="E41" s="549"/>
      <c r="F41" s="1017">
        <f t="shared" ref="F41:K41" si="2">SUM(F37:F39)</f>
        <v>0</v>
      </c>
      <c r="G41" s="1017">
        <f t="shared" si="2"/>
        <v>0</v>
      </c>
      <c r="H41" s="1017">
        <f t="shared" si="2"/>
        <v>0</v>
      </c>
      <c r="I41" s="1017">
        <f t="shared" si="2"/>
        <v>218750</v>
      </c>
      <c r="J41" s="1017">
        <f t="shared" si="2"/>
        <v>0</v>
      </c>
      <c r="K41" s="1017">
        <f t="shared" si="2"/>
        <v>0</v>
      </c>
      <c r="L41" s="425"/>
    </row>
    <row r="42" spans="2:12" x14ac:dyDescent="0.3">
      <c r="B42" s="422"/>
      <c r="C42" s="122"/>
      <c r="D42" s="123"/>
      <c r="E42" s="549"/>
      <c r="F42" s="546"/>
      <c r="G42" s="546"/>
      <c r="H42" s="546"/>
      <c r="I42" s="546"/>
      <c r="J42" s="546"/>
      <c r="K42" s="546"/>
      <c r="L42" s="425"/>
    </row>
    <row r="43" spans="2:12" x14ac:dyDescent="0.3">
      <c r="B43" s="422"/>
      <c r="C43" s="423"/>
      <c r="D43" s="423"/>
      <c r="E43" s="539"/>
      <c r="F43" s="539"/>
      <c r="G43" s="539"/>
      <c r="H43" s="539"/>
      <c r="I43" s="539"/>
      <c r="J43" s="539"/>
      <c r="K43" s="539"/>
      <c r="L43" s="425"/>
    </row>
    <row r="44" spans="2:12" x14ac:dyDescent="0.3">
      <c r="B44" s="422"/>
      <c r="C44" s="122"/>
      <c r="D44" s="123"/>
      <c r="E44" s="549"/>
      <c r="F44" s="546"/>
      <c r="G44" s="546"/>
      <c r="H44" s="546"/>
      <c r="I44" s="546"/>
      <c r="J44" s="546"/>
      <c r="K44" s="546"/>
      <c r="L44" s="425"/>
    </row>
    <row r="45" spans="2:12" x14ac:dyDescent="0.3">
      <c r="B45" s="422"/>
      <c r="C45" s="122"/>
      <c r="D45" s="872" t="s">
        <v>295</v>
      </c>
      <c r="E45" s="549"/>
      <c r="F45" s="1011">
        <f>(bal!G46)-(bal!F46)</f>
        <v>0</v>
      </c>
      <c r="G45" s="1011">
        <f>(bal!H46)-(bal!G46)</f>
        <v>0</v>
      </c>
      <c r="H45" s="1011">
        <f>(bal!I46)-(bal!H46)</f>
        <v>0</v>
      </c>
      <c r="I45" s="1011">
        <f>(bal!J46)-(bal!I46)</f>
        <v>0</v>
      </c>
      <c r="J45" s="1011">
        <f>(bal!K46)-(bal!J46)</f>
        <v>0</v>
      </c>
      <c r="K45" s="1011">
        <f>(bal!L46)-(bal!K46)</f>
        <v>0</v>
      </c>
      <c r="L45" s="425"/>
    </row>
    <row r="46" spans="2:12" x14ac:dyDescent="0.3">
      <c r="B46" s="422"/>
      <c r="C46" s="122"/>
      <c r="D46" s="487"/>
      <c r="E46" s="549"/>
      <c r="F46" s="546"/>
      <c r="G46" s="546"/>
      <c r="H46" s="546"/>
      <c r="I46" s="546"/>
      <c r="J46" s="546"/>
      <c r="K46" s="546"/>
      <c r="L46" s="425"/>
    </row>
    <row r="47" spans="2:12" x14ac:dyDescent="0.3">
      <c r="B47" s="422"/>
      <c r="C47" s="423"/>
      <c r="D47" s="423"/>
      <c r="E47" s="539"/>
      <c r="F47" s="539"/>
      <c r="G47" s="539"/>
      <c r="H47" s="539"/>
      <c r="I47" s="539"/>
      <c r="J47" s="539"/>
      <c r="K47" s="539"/>
      <c r="L47" s="425"/>
    </row>
    <row r="48" spans="2:12" x14ac:dyDescent="0.3">
      <c r="B48" s="422"/>
      <c r="C48" s="122"/>
      <c r="D48" s="123"/>
      <c r="E48" s="549"/>
      <c r="F48" s="546"/>
      <c r="G48" s="546"/>
      <c r="H48" s="546"/>
      <c r="I48" s="546"/>
      <c r="J48" s="546"/>
      <c r="K48" s="546"/>
      <c r="L48" s="425"/>
    </row>
    <row r="49" spans="2:12" x14ac:dyDescent="0.3">
      <c r="B49" s="422"/>
      <c r="C49" s="122"/>
      <c r="D49" s="882" t="s">
        <v>287</v>
      </c>
      <c r="E49" s="549"/>
      <c r="F49" s="1011">
        <f t="shared" ref="F49:K49" si="3">ROUND((F31-F41+F45),2)</f>
        <v>0</v>
      </c>
      <c r="G49" s="1011">
        <f t="shared" si="3"/>
        <v>1649310.12</v>
      </c>
      <c r="H49" s="1011">
        <f t="shared" si="3"/>
        <v>1499287.9</v>
      </c>
      <c r="I49" s="1011">
        <f t="shared" si="3"/>
        <v>1219047.1499999999</v>
      </c>
      <c r="J49" s="1011">
        <f t="shared" si="3"/>
        <v>1443617.1</v>
      </c>
      <c r="K49" s="1011">
        <f t="shared" si="3"/>
        <v>1449434.54</v>
      </c>
      <c r="L49" s="425"/>
    </row>
    <row r="50" spans="2:12" x14ac:dyDescent="0.3">
      <c r="B50" s="422"/>
      <c r="C50" s="122"/>
      <c r="D50" s="877" t="s">
        <v>38</v>
      </c>
      <c r="E50" s="566"/>
      <c r="F50" s="909">
        <f>ROUND((bal!G22-bal!F22),2)</f>
        <v>0</v>
      </c>
      <c r="G50" s="909">
        <f>ROUND((bal!H22-bal!G22),2)</f>
        <v>1649310.12</v>
      </c>
      <c r="H50" s="909">
        <f>ROUND((bal!I22-bal!H22),2)</f>
        <v>1499287.9</v>
      </c>
      <c r="I50" s="909">
        <f>ROUND((bal!J22-bal!I22),2)</f>
        <v>1219047.1499999999</v>
      </c>
      <c r="J50" s="909">
        <f>ROUND((bal!K22-bal!J22),2)</f>
        <v>1443617.1</v>
      </c>
      <c r="K50" s="909">
        <f>ROUND((bal!L22-bal!K22),2)</f>
        <v>1449434.54</v>
      </c>
      <c r="L50" s="425"/>
    </row>
    <row r="51" spans="2:12" x14ac:dyDescent="0.3">
      <c r="B51" s="422"/>
      <c r="C51" s="122"/>
      <c r="D51" s="873"/>
      <c r="E51" s="549"/>
      <c r="F51" s="1015"/>
      <c r="G51" s="1015"/>
      <c r="H51" s="1015"/>
      <c r="I51" s="1015"/>
      <c r="J51" s="1015"/>
      <c r="K51" s="1015"/>
      <c r="L51" s="425"/>
    </row>
    <row r="52" spans="2:12" x14ac:dyDescent="0.3">
      <c r="B52" s="485"/>
      <c r="C52" s="486"/>
      <c r="D52" s="872" t="s">
        <v>39</v>
      </c>
      <c r="E52" s="562"/>
      <c r="F52" s="1009">
        <f t="shared" ref="F52:K52" si="4">F12+F49</f>
        <v>0</v>
      </c>
      <c r="G52" s="1009">
        <f t="shared" si="4"/>
        <v>1649310.12</v>
      </c>
      <c r="H52" s="1011">
        <f t="shared" si="4"/>
        <v>3148598.02</v>
      </c>
      <c r="I52" s="1011">
        <f t="shared" si="4"/>
        <v>4367645.17</v>
      </c>
      <c r="J52" s="1011">
        <f t="shared" si="4"/>
        <v>5811262.2699999996</v>
      </c>
      <c r="K52" s="1011">
        <f t="shared" si="4"/>
        <v>7260696.8099999996</v>
      </c>
      <c r="L52" s="488"/>
    </row>
    <row r="53" spans="2:12" x14ac:dyDescent="0.3">
      <c r="B53" s="485"/>
      <c r="C53" s="486"/>
      <c r="D53" s="874" t="s">
        <v>37</v>
      </c>
      <c r="E53" s="567"/>
      <c r="F53" s="1016" t="e">
        <f>bal!G23/bal!G55</f>
        <v>#DIV/0!</v>
      </c>
      <c r="G53" s="1016" t="e">
        <f>bal!H23/bal!H55</f>
        <v>#DIV/0!</v>
      </c>
      <c r="H53" s="1016" t="e">
        <f>bal!I23/bal!I55</f>
        <v>#DIV/0!</v>
      </c>
      <c r="I53" s="1016" t="e">
        <f>bal!J23/bal!J55</f>
        <v>#DIV/0!</v>
      </c>
      <c r="J53" s="1016" t="e">
        <f>bal!K23/bal!K55</f>
        <v>#DIV/0!</v>
      </c>
      <c r="K53" s="1016" t="e">
        <f>bal!L23/bal!L55</f>
        <v>#DIV/0!</v>
      </c>
      <c r="L53" s="488"/>
    </row>
    <row r="54" spans="2:12" x14ac:dyDescent="0.3">
      <c r="B54" s="422"/>
      <c r="C54" s="447"/>
      <c r="D54" s="448"/>
      <c r="E54" s="547"/>
      <c r="F54" s="568"/>
      <c r="G54" s="568"/>
      <c r="H54" s="568"/>
      <c r="I54" s="568"/>
      <c r="J54" s="568"/>
      <c r="K54" s="568"/>
      <c r="L54" s="425"/>
    </row>
    <row r="55" spans="2:12" x14ac:dyDescent="0.3">
      <c r="B55" s="422"/>
      <c r="C55" s="423"/>
      <c r="D55" s="423"/>
      <c r="E55" s="539"/>
      <c r="F55" s="569"/>
      <c r="G55" s="569"/>
      <c r="H55" s="569"/>
      <c r="I55" s="569"/>
      <c r="J55" s="569"/>
      <c r="K55" s="569"/>
      <c r="L55" s="425"/>
    </row>
    <row r="56" spans="2:12" x14ac:dyDescent="0.3">
      <c r="B56" s="452"/>
      <c r="C56" s="453"/>
      <c r="D56" s="453"/>
      <c r="E56" s="570"/>
      <c r="F56" s="571"/>
      <c r="G56" s="571"/>
      <c r="H56" s="571"/>
      <c r="I56" s="571"/>
      <c r="J56" s="571"/>
      <c r="K56" s="571"/>
      <c r="L56" s="454"/>
    </row>
  </sheetData>
  <sheetProtection algorithmName="SHA-512" hashValue="5O+taTA+UYQX70FlLQFyBgzH7qTTGK5/57v8ED0vtudKLMCZyYkMU7GR3LSEbEZRPBfU0WMTh1yNJLI7USVYAQ==" saltValue="MPewlFlQlOZOdmgZmVdUew=="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8"/>
  <dimension ref="B1:M80"/>
  <sheetViews>
    <sheetView showGridLines="0" zoomScale="85" zoomScaleNormal="85" zoomScaleSheetLayoutView="85" workbookViewId="0">
      <pane ySplit="9" topLeftCell="A10" activePane="bottomLeft" state="frozen"/>
      <selection activeCell="B2" sqref="B2"/>
      <selection pane="bottomLeft" activeCell="O32" sqref="O32:P32"/>
    </sheetView>
  </sheetViews>
  <sheetFormatPr defaultColWidth="9.109375" defaultRowHeight="13.8" x14ac:dyDescent="0.3"/>
  <cols>
    <col min="1" max="1" width="3.6640625" style="8" customWidth="1"/>
    <col min="2" max="3" width="2.6640625" style="8" customWidth="1"/>
    <col min="4" max="4" width="45.6640625" style="268" customWidth="1"/>
    <col min="5" max="5" width="2.6640625" style="8" customWidth="1"/>
    <col min="6" max="6" width="16.6640625" style="16" customWidth="1"/>
    <col min="7" max="11" width="16.6640625" style="154" customWidth="1"/>
    <col min="12" max="12" width="2.6640625" style="8" customWidth="1"/>
    <col min="13" max="14" width="14.6640625" style="8" customWidth="1"/>
    <col min="15" max="16384" width="9.109375" style="8"/>
  </cols>
  <sheetData>
    <row r="1" spans="2:12" ht="12.75" customHeight="1" x14ac:dyDescent="0.3"/>
    <row r="2" spans="2:12" x14ac:dyDescent="0.3">
      <c r="B2" s="56"/>
      <c r="C2" s="57"/>
      <c r="D2" s="296"/>
      <c r="E2" s="57"/>
      <c r="F2" s="86"/>
      <c r="G2" s="493"/>
      <c r="H2" s="493"/>
      <c r="I2" s="493"/>
      <c r="J2" s="493"/>
      <c r="K2" s="493"/>
      <c r="L2" s="60"/>
    </row>
    <row r="3" spans="2:12" x14ac:dyDescent="0.3">
      <c r="B3" s="61"/>
      <c r="C3" s="62"/>
      <c r="D3" s="302"/>
      <c r="E3" s="62"/>
      <c r="F3" s="79"/>
      <c r="G3" s="198"/>
      <c r="H3" s="198"/>
      <c r="I3" s="198"/>
      <c r="J3" s="198"/>
      <c r="K3" s="198"/>
      <c r="L3" s="65"/>
    </row>
    <row r="4" spans="2:12" s="414" customFormat="1" ht="18" x14ac:dyDescent="0.35">
      <c r="B4" s="426"/>
      <c r="C4" s="834" t="s">
        <v>171</v>
      </c>
      <c r="D4" s="494"/>
      <c r="E4" s="427"/>
      <c r="F4" s="87"/>
      <c r="G4" s="495"/>
      <c r="H4" s="495"/>
      <c r="I4" s="495"/>
      <c r="J4" s="495"/>
      <c r="K4" s="495"/>
      <c r="L4" s="88"/>
    </row>
    <row r="5" spans="2:12" s="10" customFormat="1" ht="18" x14ac:dyDescent="0.35">
      <c r="B5" s="183"/>
      <c r="C5" s="68" t="str">
        <f>geg!F11</f>
        <v>Voorbeeldschool</v>
      </c>
      <c r="D5" s="496"/>
      <c r="E5" s="68"/>
      <c r="F5" s="497"/>
      <c r="G5" s="498"/>
      <c r="H5" s="498"/>
      <c r="I5" s="498"/>
      <c r="J5" s="498"/>
      <c r="K5" s="498"/>
      <c r="L5" s="428"/>
    </row>
    <row r="6" spans="2:12" x14ac:dyDescent="0.3">
      <c r="B6" s="61"/>
      <c r="C6" s="62"/>
      <c r="D6" s="302"/>
      <c r="E6" s="62"/>
      <c r="F6" s="79"/>
      <c r="G6" s="198"/>
      <c r="H6" s="198"/>
      <c r="I6" s="198"/>
      <c r="J6" s="198"/>
      <c r="K6" s="198"/>
      <c r="L6" s="65"/>
    </row>
    <row r="7" spans="2:12" x14ac:dyDescent="0.3">
      <c r="B7" s="61"/>
      <c r="C7" s="62"/>
      <c r="D7" s="302"/>
      <c r="E7" s="62"/>
      <c r="F7" s="79"/>
      <c r="G7" s="198"/>
      <c r="H7" s="198"/>
      <c r="I7" s="198"/>
      <c r="J7" s="198"/>
      <c r="K7" s="198"/>
      <c r="L7" s="65"/>
    </row>
    <row r="8" spans="2:12" x14ac:dyDescent="0.3">
      <c r="B8" s="61"/>
      <c r="C8" s="62"/>
      <c r="D8" s="302"/>
      <c r="E8" s="62"/>
      <c r="F8" s="871">
        <f>bal!G8</f>
        <v>2021</v>
      </c>
      <c r="G8" s="871">
        <f>bal!H8</f>
        <v>2022</v>
      </c>
      <c r="H8" s="871">
        <f>bal!I8</f>
        <v>2023</v>
      </c>
      <c r="I8" s="871">
        <f>bal!J8</f>
        <v>2024</v>
      </c>
      <c r="J8" s="871">
        <f>bal!K8</f>
        <v>2025</v>
      </c>
      <c r="K8" s="871">
        <f>bal!L8</f>
        <v>2026</v>
      </c>
      <c r="L8" s="65"/>
    </row>
    <row r="9" spans="2:12" x14ac:dyDescent="0.3">
      <c r="B9" s="61"/>
      <c r="C9" s="62"/>
      <c r="D9" s="302"/>
      <c r="E9" s="62"/>
      <c r="F9" s="64"/>
      <c r="G9" s="64"/>
      <c r="H9" s="64"/>
      <c r="I9" s="64"/>
      <c r="J9" s="64"/>
      <c r="K9" s="64"/>
      <c r="L9" s="65"/>
    </row>
    <row r="10" spans="2:12" x14ac:dyDescent="0.3">
      <c r="B10" s="61"/>
      <c r="C10" s="435"/>
      <c r="D10" s="1164"/>
      <c r="E10" s="436"/>
      <c r="F10" s="561"/>
      <c r="G10" s="1165"/>
      <c r="H10" s="1165"/>
      <c r="I10" s="1165"/>
      <c r="J10" s="1165"/>
      <c r="K10" s="1165"/>
      <c r="L10" s="65"/>
    </row>
    <row r="11" spans="2:12" x14ac:dyDescent="0.3">
      <c r="B11" s="61"/>
      <c r="C11" s="122"/>
      <c r="D11" s="1022" t="s">
        <v>211</v>
      </c>
      <c r="E11" s="123"/>
      <c r="F11" s="1144">
        <f t="shared" ref="F11:K11" si="0">F8</f>
        <v>2021</v>
      </c>
      <c r="G11" s="1144">
        <f t="shared" si="0"/>
        <v>2022</v>
      </c>
      <c r="H11" s="1144">
        <f t="shared" si="0"/>
        <v>2023</v>
      </c>
      <c r="I11" s="1144">
        <f t="shared" si="0"/>
        <v>2024</v>
      </c>
      <c r="J11" s="1144">
        <f t="shared" si="0"/>
        <v>2025</v>
      </c>
      <c r="K11" s="1144">
        <f t="shared" si="0"/>
        <v>2026</v>
      </c>
      <c r="L11" s="65"/>
    </row>
    <row r="12" spans="2:12" x14ac:dyDescent="0.3">
      <c r="B12" s="61"/>
      <c r="C12" s="122"/>
      <c r="D12" s="1145" t="s">
        <v>230</v>
      </c>
      <c r="E12" s="476"/>
      <c r="F12" s="1153">
        <f>bal!G36/bal!G57</f>
        <v>1</v>
      </c>
      <c r="G12" s="1153">
        <f>bal!H36/bal!H57</f>
        <v>1</v>
      </c>
      <c r="H12" s="1153">
        <f>bal!I36/bal!I57</f>
        <v>1</v>
      </c>
      <c r="I12" s="1153">
        <f>bal!J36/bal!J57</f>
        <v>1</v>
      </c>
      <c r="J12" s="1153">
        <f>bal!K36/bal!K57</f>
        <v>1</v>
      </c>
      <c r="K12" s="1153">
        <f>bal!L36/bal!L57</f>
        <v>1</v>
      </c>
      <c r="L12" s="65"/>
    </row>
    <row r="13" spans="2:12" x14ac:dyDescent="0.3">
      <c r="B13" s="61"/>
      <c r="C13" s="122"/>
      <c r="D13" s="1145" t="s">
        <v>540</v>
      </c>
      <c r="E13" s="476"/>
      <c r="F13" s="1153">
        <f>(bal!G36+bal!G42)/bal!G57</f>
        <v>1</v>
      </c>
      <c r="G13" s="1153">
        <f>(bal!H36+bal!H42)/bal!H57</f>
        <v>1</v>
      </c>
      <c r="H13" s="1153">
        <f>(bal!I36+bal!I42)/bal!I57</f>
        <v>1</v>
      </c>
      <c r="I13" s="1153">
        <f>(bal!J36+bal!J42)/bal!J57</f>
        <v>1</v>
      </c>
      <c r="J13" s="1153">
        <f>(bal!K36+bal!K42)/bal!K57</f>
        <v>1</v>
      </c>
      <c r="K13" s="1153">
        <f>(bal!L36+bal!L42)/bal!L57</f>
        <v>1</v>
      </c>
      <c r="L13" s="65"/>
    </row>
    <row r="14" spans="2:12" x14ac:dyDescent="0.3">
      <c r="B14" s="61"/>
      <c r="C14" s="122"/>
      <c r="D14" s="1145" t="s">
        <v>176</v>
      </c>
      <c r="E14" s="1031"/>
      <c r="F14" s="1154" t="e">
        <f>bal!G23/bal!G55</f>
        <v>#DIV/0!</v>
      </c>
      <c r="G14" s="1154" t="e">
        <f>bal!H23/bal!H55</f>
        <v>#DIV/0!</v>
      </c>
      <c r="H14" s="1154" t="e">
        <f>bal!I23/bal!I55</f>
        <v>#DIV/0!</v>
      </c>
      <c r="I14" s="1154" t="e">
        <f>bal!J23/bal!J55</f>
        <v>#DIV/0!</v>
      </c>
      <c r="J14" s="1154" t="e">
        <f>bal!K23/bal!K55</f>
        <v>#DIV/0!</v>
      </c>
      <c r="K14" s="1154" t="e">
        <f>bal!L23/bal!L55</f>
        <v>#DIV/0!</v>
      </c>
      <c r="L14" s="65"/>
    </row>
    <row r="15" spans="2:12" x14ac:dyDescent="0.3">
      <c r="B15" s="61"/>
      <c r="C15" s="122"/>
      <c r="D15" s="1166" t="s">
        <v>553</v>
      </c>
      <c r="E15" s="512"/>
      <c r="F15" s="1146">
        <f>(bal!G36-bal!G15)/begr!G14</f>
        <v>0</v>
      </c>
      <c r="G15" s="1146">
        <f>(bal!H36-bal!H15)/begr!H14</f>
        <v>0.96607646009281201</v>
      </c>
      <c r="H15" s="1146">
        <f>(bal!I36-bal!I15)/begr!I14</f>
        <v>1.9052794156309381</v>
      </c>
      <c r="I15" s="1146">
        <f>(bal!J36-bal!J15)/begr!J14</f>
        <v>2.6239617265251769</v>
      </c>
      <c r="J15" s="1146">
        <f>(bal!K36-bal!K15)/begr!K14</f>
        <v>3.4663445482853148</v>
      </c>
      <c r="K15" s="1146">
        <f>(bal!L36-bal!L15)/begr!L14</f>
        <v>4.319711594403925</v>
      </c>
      <c r="L15" s="65"/>
    </row>
    <row r="16" spans="2:12" x14ac:dyDescent="0.3">
      <c r="B16" s="61"/>
      <c r="C16" s="122"/>
      <c r="D16" s="1166" t="s">
        <v>554</v>
      </c>
      <c r="E16" s="512"/>
      <c r="F16" s="1146">
        <f>bal!G32/(begr!G19+begr!G35)</f>
        <v>-2.3583454480039026E-2</v>
      </c>
      <c r="G16" s="1146">
        <f>bal!H32/(begr!H19+begr!H35)</f>
        <v>0.9148237035552248</v>
      </c>
      <c r="H16" s="1146">
        <f>bal!I32/(begr!I19+begr!I35)</f>
        <v>1.8258574249096391</v>
      </c>
      <c r="I16" s="1146">
        <f>bal!J32/(begr!J19+begr!J35)</f>
        <v>2.6239617265251769</v>
      </c>
      <c r="J16" s="1146">
        <f>bal!K32/(begr!K19+begr!K35)</f>
        <v>3.4402482259079998</v>
      </c>
      <c r="K16" s="1146">
        <f>bal!L32/(begr!L19+begr!L35)</f>
        <v>4.2676539512138367</v>
      </c>
      <c r="L16" s="65"/>
    </row>
    <row r="17" spans="2:12" x14ac:dyDescent="0.3">
      <c r="B17" s="61"/>
      <c r="C17" s="122"/>
      <c r="D17" s="1145" t="s">
        <v>218</v>
      </c>
      <c r="E17" s="1031"/>
      <c r="F17" s="1167">
        <f>begr!G42/ken!F32</f>
        <v>0.86547780817136089</v>
      </c>
      <c r="G17" s="1167">
        <f>begr!H42/ken!G32</f>
        <v>0.85257519732898468</v>
      </c>
      <c r="H17" s="1167">
        <f>begr!I42/ken!H32</f>
        <v>0.81709171863373742</v>
      </c>
      <c r="I17" s="1167">
        <f>begr!J42/ken!I32</f>
        <v>0.84100185490565482</v>
      </c>
      <c r="J17" s="1167">
        <f>begr!K42/ken!J32</f>
        <v>0.83847307152105843</v>
      </c>
      <c r="K17" s="1167">
        <f>begr!L42/ken!K32</f>
        <v>0.83617564830801272</v>
      </c>
      <c r="L17" s="65"/>
    </row>
    <row r="18" spans="2:12" x14ac:dyDescent="0.3">
      <c r="B18" s="61"/>
      <c r="C18" s="122"/>
      <c r="D18" s="826"/>
      <c r="E18" s="123"/>
      <c r="F18" s="549"/>
      <c r="G18" s="546"/>
      <c r="H18" s="546"/>
      <c r="I18" s="546"/>
      <c r="J18" s="546"/>
      <c r="K18" s="546"/>
      <c r="L18" s="65"/>
    </row>
    <row r="19" spans="2:12" x14ac:dyDescent="0.3">
      <c r="B19" s="61"/>
      <c r="C19" s="1149"/>
      <c r="D19" s="1150"/>
      <c r="E19" s="423"/>
      <c r="F19" s="539"/>
      <c r="G19" s="539"/>
      <c r="H19" s="539"/>
      <c r="I19" s="539"/>
      <c r="J19" s="539"/>
      <c r="K19" s="539"/>
      <c r="L19" s="65"/>
    </row>
    <row r="20" spans="2:12" x14ac:dyDescent="0.3">
      <c r="B20" s="61"/>
      <c r="C20" s="255"/>
      <c r="D20" s="1142"/>
      <c r="E20" s="436"/>
      <c r="F20" s="561"/>
      <c r="G20" s="561"/>
      <c r="H20" s="561"/>
      <c r="I20" s="561"/>
      <c r="J20" s="561"/>
      <c r="K20" s="561"/>
      <c r="L20" s="65"/>
    </row>
    <row r="21" spans="2:12" x14ac:dyDescent="0.3">
      <c r="B21" s="61"/>
      <c r="C21" s="122"/>
      <c r="D21" s="1022" t="s">
        <v>333</v>
      </c>
      <c r="E21" s="1143"/>
      <c r="F21" s="1144">
        <f t="shared" ref="F21:K21" si="1">F8</f>
        <v>2021</v>
      </c>
      <c r="G21" s="1144">
        <f t="shared" si="1"/>
        <v>2022</v>
      </c>
      <c r="H21" s="1144">
        <f t="shared" si="1"/>
        <v>2023</v>
      </c>
      <c r="I21" s="1144">
        <f t="shared" si="1"/>
        <v>2024</v>
      </c>
      <c r="J21" s="1144">
        <f t="shared" si="1"/>
        <v>2025</v>
      </c>
      <c r="K21" s="1144">
        <f t="shared" si="1"/>
        <v>2026</v>
      </c>
      <c r="L21" s="65"/>
    </row>
    <row r="22" spans="2:12" x14ac:dyDescent="0.3">
      <c r="B22" s="61"/>
      <c r="C22" s="122"/>
      <c r="D22" s="1145" t="s">
        <v>522</v>
      </c>
      <c r="E22" s="123"/>
      <c r="F22" s="1146">
        <f>begr!G14/ken!F32</f>
        <v>1</v>
      </c>
      <c r="G22" s="1146">
        <f>begr!H14/ken!G32</f>
        <v>1</v>
      </c>
      <c r="H22" s="1146">
        <f>begr!I14/ken!H32</f>
        <v>1</v>
      </c>
      <c r="I22" s="1146">
        <f>begr!J14/ken!I32</f>
        <v>1</v>
      </c>
      <c r="J22" s="1146">
        <f>begr!K14/ken!J32</f>
        <v>1</v>
      </c>
      <c r="K22" s="1146">
        <f>begr!L14/ken!K32</f>
        <v>1</v>
      </c>
      <c r="L22" s="65"/>
    </row>
    <row r="23" spans="2:12" x14ac:dyDescent="0.3">
      <c r="B23" s="61"/>
      <c r="C23" s="122"/>
      <c r="D23" s="1145" t="s">
        <v>523</v>
      </c>
      <c r="E23" s="123"/>
      <c r="F23" s="1146">
        <f>begr!G15/ken!F32</f>
        <v>0</v>
      </c>
      <c r="G23" s="1146">
        <f>begr!H15/ken!G32</f>
        <v>0</v>
      </c>
      <c r="H23" s="1146">
        <f>begr!I15/ken!H32</f>
        <v>0</v>
      </c>
      <c r="I23" s="1146">
        <f>begr!J15/ken!I32</f>
        <v>0</v>
      </c>
      <c r="J23" s="1146">
        <f>begr!K15/ken!J32</f>
        <v>0</v>
      </c>
      <c r="K23" s="1146">
        <f>begr!L15/ken!K32</f>
        <v>0</v>
      </c>
      <c r="L23" s="65"/>
    </row>
    <row r="24" spans="2:12" x14ac:dyDescent="0.3">
      <c r="B24" s="61"/>
      <c r="C24" s="122"/>
      <c r="D24" s="1145" t="s">
        <v>524</v>
      </c>
      <c r="E24" s="123"/>
      <c r="F24" s="1146">
        <f>begr!G18/ken!F32</f>
        <v>0</v>
      </c>
      <c r="G24" s="1146">
        <f>begr!H18/ken!G32</f>
        <v>0</v>
      </c>
      <c r="H24" s="1146">
        <f>begr!I18/ken!H32</f>
        <v>0</v>
      </c>
      <c r="I24" s="1146">
        <f>begr!J18/ken!I32</f>
        <v>0</v>
      </c>
      <c r="J24" s="1146">
        <f>begr!K18/ken!J32</f>
        <v>0</v>
      </c>
      <c r="K24" s="1146">
        <f>begr!L18/ken!K32</f>
        <v>0</v>
      </c>
      <c r="L24" s="65"/>
    </row>
    <row r="25" spans="2:12" x14ac:dyDescent="0.3">
      <c r="B25" s="61"/>
      <c r="C25" s="122"/>
      <c r="D25" s="1147" t="s">
        <v>525</v>
      </c>
      <c r="E25" s="123"/>
      <c r="F25" s="1146">
        <f>begr!G23/ken!F32</f>
        <v>0.1109387373486001</v>
      </c>
      <c r="G25" s="1146">
        <f>begr!H23/ken!G32</f>
        <v>0.12179842440222166</v>
      </c>
      <c r="H25" s="1146">
        <f>begr!I23/ken!H32</f>
        <v>0.12996028755206326</v>
      </c>
      <c r="I25" s="1146">
        <f>begr!J23/ken!I32</f>
        <v>0.13271434209265662</v>
      </c>
      <c r="J25" s="1146">
        <f>begr!K23/ken!J32</f>
        <v>0.13543060610162685</v>
      </c>
      <c r="K25" s="1146">
        <f>begr!L23/ken!K32</f>
        <v>0.1377955300969429</v>
      </c>
      <c r="L25" s="65"/>
    </row>
    <row r="26" spans="2:12" x14ac:dyDescent="0.3">
      <c r="B26" s="61"/>
      <c r="C26" s="122"/>
      <c r="D26" s="1171" t="s">
        <v>526</v>
      </c>
      <c r="E26" s="123"/>
      <c r="F26" s="1146">
        <f>F32/begr!G14</f>
        <v>1</v>
      </c>
      <c r="G26" s="1146">
        <f>G32/begr!H14</f>
        <v>1</v>
      </c>
      <c r="H26" s="1146">
        <f>H32/begr!I14</f>
        <v>1</v>
      </c>
      <c r="I26" s="1146">
        <f>I32/begr!J14</f>
        <v>1</v>
      </c>
      <c r="J26" s="1146">
        <f>J32/begr!K14</f>
        <v>1</v>
      </c>
      <c r="K26" s="1146">
        <f>K32/begr!L14</f>
        <v>1</v>
      </c>
      <c r="L26" s="65"/>
    </row>
    <row r="27" spans="2:12" x14ac:dyDescent="0.3">
      <c r="B27" s="61"/>
      <c r="C27" s="122"/>
      <c r="D27" s="1147" t="s">
        <v>527</v>
      </c>
      <c r="E27" s="123"/>
      <c r="F27" s="1146">
        <f>(begr!G27+begr!G35)/begr!G14</f>
        <v>0.13452219182863911</v>
      </c>
      <c r="G27" s="1146">
        <f>(begr!H27+begr!H35)/begr!H14</f>
        <v>0.14742480267101532</v>
      </c>
      <c r="H27" s="1146">
        <f>(begr!I27+begr!I35)/begr!I14</f>
        <v>0.18290828136626258</v>
      </c>
      <c r="I27" s="1146">
        <f>(begr!J27+begr!J35)/begr!J14</f>
        <v>0.15899814509434509</v>
      </c>
      <c r="J27" s="1146">
        <f>(begr!K27+begr!K35)/begr!K14</f>
        <v>0.16152692847894165</v>
      </c>
      <c r="K27" s="1146">
        <f>(begr!L27+begr!L35)/begr!L14</f>
        <v>0.1638243516919872</v>
      </c>
      <c r="L27" s="65"/>
    </row>
    <row r="28" spans="2:12" x14ac:dyDescent="0.3">
      <c r="B28" s="61"/>
      <c r="C28" s="122"/>
      <c r="D28" s="1171" t="s">
        <v>528</v>
      </c>
      <c r="E28" s="123"/>
      <c r="F28" s="1146">
        <f>begr!G23/begr!G14</f>
        <v>0.1109387373486001</v>
      </c>
      <c r="G28" s="1146">
        <f>begr!H23/begr!H14</f>
        <v>0.12179842440222166</v>
      </c>
      <c r="H28" s="1146">
        <f>begr!I23/begr!I14</f>
        <v>0.12996028755206326</v>
      </c>
      <c r="I28" s="1146">
        <f>begr!J23/begr!J14</f>
        <v>0.13271434209265662</v>
      </c>
      <c r="J28" s="1146">
        <f>begr!K23/begr!K14</f>
        <v>0.13543060610162685</v>
      </c>
      <c r="K28" s="1146">
        <f>begr!L23/begr!L14</f>
        <v>0.1377955300969429</v>
      </c>
      <c r="L28" s="65"/>
    </row>
    <row r="29" spans="2:12" x14ac:dyDescent="0.3">
      <c r="B29" s="61"/>
      <c r="C29" s="122"/>
      <c r="D29" s="1147" t="s">
        <v>529</v>
      </c>
      <c r="E29" s="123"/>
      <c r="F29" s="1146">
        <f>SUM(begr!G24:G26)/begr!G14</f>
        <v>2.3583454480039026E-2</v>
      </c>
      <c r="G29" s="1146">
        <f>SUM(begr!H24:H26)/begr!H14</f>
        <v>2.5626378268793642E-2</v>
      </c>
      <c r="H29" s="1146">
        <f>SUM(begr!I24:I26)/begr!I14</f>
        <v>5.2947993814199311E-2</v>
      </c>
      <c r="I29" s="1146">
        <f>SUM(begr!J24:J26)/begr!J14</f>
        <v>2.6283803001688484E-2</v>
      </c>
      <c r="J29" s="1146">
        <f>SUM(begr!K24:K26)/begr!K14</f>
        <v>2.6096322377314778E-2</v>
      </c>
      <c r="K29" s="1146">
        <f>SUM(begr!L24:L26)/begr!L14</f>
        <v>2.602882159504431E-2</v>
      </c>
      <c r="L29" s="65"/>
    </row>
    <row r="30" spans="2:12" x14ac:dyDescent="0.3">
      <c r="B30" s="61"/>
      <c r="C30" s="122"/>
      <c r="D30" s="1145" t="s">
        <v>530</v>
      </c>
      <c r="E30" s="512"/>
      <c r="F30" s="1146">
        <f>act!G29/ken!F32</f>
        <v>0</v>
      </c>
      <c r="G30" s="1146">
        <f>act!H29/ken!G32</f>
        <v>0</v>
      </c>
      <c r="H30" s="1146">
        <f>act!I29/ken!H32</f>
        <v>0.13236998453549828</v>
      </c>
      <c r="I30" s="1146">
        <f>act!J29/ken!I32</f>
        <v>0</v>
      </c>
      <c r="J30" s="1146">
        <f>act!K29/ken!J32</f>
        <v>0</v>
      </c>
      <c r="K30" s="1146">
        <f>act!L29/ken!K32</f>
        <v>0</v>
      </c>
      <c r="L30" s="65"/>
    </row>
    <row r="31" spans="2:12" x14ac:dyDescent="0.3">
      <c r="B31" s="61"/>
      <c r="C31" s="122"/>
      <c r="D31" s="1145"/>
      <c r="E31" s="123"/>
      <c r="F31" s="1145"/>
      <c r="G31" s="1145"/>
      <c r="H31" s="1145"/>
      <c r="I31" s="1145"/>
      <c r="J31" s="1145"/>
      <c r="K31" s="1145"/>
      <c r="L31" s="65"/>
    </row>
    <row r="32" spans="2:12" x14ac:dyDescent="0.3">
      <c r="B32" s="61"/>
      <c r="C32" s="122"/>
      <c r="D32" s="123" t="s">
        <v>531</v>
      </c>
      <c r="E32" s="123"/>
      <c r="F32" s="846">
        <f>begr!G19+begr!G35</f>
        <v>1855114.1452593335</v>
      </c>
      <c r="G32" s="846">
        <f>begr!H19+begr!H35</f>
        <v>1707225.2481840667</v>
      </c>
      <c r="H32" s="846">
        <f>begr!I19+begr!I35</f>
        <v>1652564.9736050002</v>
      </c>
      <c r="I32" s="846">
        <f>begr!J19+begr!J35</f>
        <v>1664523.2045449999</v>
      </c>
      <c r="J32" s="846">
        <f>begr!K19+begr!K35</f>
        <v>1676481.4354849998</v>
      </c>
      <c r="K32" s="846">
        <f>begr!L19+begr!L35</f>
        <v>1680829.0701999997</v>
      </c>
      <c r="L32" s="65"/>
    </row>
    <row r="33" spans="2:13" x14ac:dyDescent="0.3">
      <c r="B33" s="61"/>
      <c r="C33" s="122"/>
      <c r="D33" s="96" t="s">
        <v>532</v>
      </c>
      <c r="E33" s="123"/>
      <c r="F33" s="838">
        <f>(pers!I169+mat!I38)/geg!G25</f>
        <v>2686.1243266510101</v>
      </c>
      <c r="G33" s="838">
        <f>(pers!J169+mat!J38)/geg!H25</f>
        <v>3110.952227911112</v>
      </c>
      <c r="H33" s="838">
        <f>(pers!K169+mat!K38)/geg!I25</f>
        <v>3305.7187877401716</v>
      </c>
      <c r="I33" s="838">
        <f>(pers!L169+mat!L38)/geg!J25</f>
        <v>3305.7187877401716</v>
      </c>
      <c r="J33" s="838">
        <f>(pers!M169+mat!M38)/geg!K25</f>
        <v>3305.7187877401716</v>
      </c>
      <c r="K33" s="838">
        <f>(pers!N169+mat!N38)/geg!L25</f>
        <v>3303.9410099623938</v>
      </c>
      <c r="L33" s="65"/>
    </row>
    <row r="34" spans="2:13" x14ac:dyDescent="0.3">
      <c r="B34" s="61"/>
      <c r="C34" s="122"/>
      <c r="D34" s="1145" t="s">
        <v>49</v>
      </c>
      <c r="E34" s="123"/>
      <c r="F34" s="846">
        <f>pers!I163/ken!F59</f>
        <v>65958.283637532659</v>
      </c>
      <c r="G34" s="846">
        <f>pers!J163/ken!G59</f>
        <v>69312.448442837063</v>
      </c>
      <c r="H34" s="846">
        <f>pers!K163/ken!H59</f>
        <v>71589.273056057878</v>
      </c>
      <c r="I34" s="846">
        <f>pers!L163/ken!I59</f>
        <v>73635.367329716712</v>
      </c>
      <c r="J34" s="846">
        <f>pers!M163/ken!J59</f>
        <v>75682.298975286321</v>
      </c>
      <c r="K34" s="846">
        <f>pers!N163/ken!K59</f>
        <v>77203.577576853524</v>
      </c>
      <c r="L34" s="65"/>
    </row>
    <row r="35" spans="2:13" x14ac:dyDescent="0.3">
      <c r="B35" s="61"/>
      <c r="C35" s="122"/>
      <c r="D35" s="96" t="s">
        <v>496</v>
      </c>
      <c r="E35" s="123"/>
      <c r="F35" s="1024">
        <f>7/12*(dir!S48+op!S71+obp!S89)+5/12*(dir!S71+op!S139+obp!S132)</f>
        <v>11293.438018886882</v>
      </c>
      <c r="G35" s="1024">
        <f>7/12*(dir!S71+op!S139+obp!S132)+5/12*(dir!S93+op!S207+obp!S174)</f>
        <v>14451.769037572836</v>
      </c>
      <c r="H35" s="1024">
        <f>7/12*(dir!S93+op!S207+obp!S174)+5/12*(dir!S115+op!S274+obp!S216)</f>
        <v>14964.737793851718</v>
      </c>
      <c r="I35" s="1024">
        <f>7/12*(dir!S115+op!S274+obp!S216)+5/12*(dir!S137+op!S341+obp!S258)</f>
        <v>15420.814948764317</v>
      </c>
      <c r="J35" s="1024">
        <f>7/12*(dir!S137+op!S341+obp!S258)+5/12*(dir!S159+op!S408+obp!S300)</f>
        <v>15885.599758890899</v>
      </c>
      <c r="K35" s="1024">
        <f>7/12*(dir!S159+op!S408+obp!S300)+5/12*(dir!S181+op!S475+obp!S342)</f>
        <v>16321.613019891502</v>
      </c>
      <c r="L35" s="65"/>
      <c r="M35" s="410"/>
    </row>
    <row r="36" spans="2:13" x14ac:dyDescent="0.3">
      <c r="B36" s="61"/>
      <c r="C36" s="122"/>
      <c r="D36" s="123" t="s">
        <v>502</v>
      </c>
      <c r="E36" s="123"/>
      <c r="F36" s="843">
        <f>7/12*(dir!P48+op!P71+obp!P89)+5/12*(dir!P71+op!P139+obp!P132)</f>
        <v>420</v>
      </c>
      <c r="G36" s="843">
        <f>7/12*(dir!P71+op!P139+obp!P132)+5/12*(dir!P93+op!P207+obp!P174)</f>
        <v>420</v>
      </c>
      <c r="H36" s="843">
        <f>7/12*(dir!P93+op!P207+obp!P174)+5/12*(dir!P115+op!P274+obp!P216)</f>
        <v>420</v>
      </c>
      <c r="I36" s="843">
        <f>7/12*(dir!P115+op!P274+obp!P216)+5/12*(dir!P137+op!P341+obp!P258)</f>
        <v>420</v>
      </c>
      <c r="J36" s="843">
        <f>7/12*(dir!P137+op!P341+obp!P258)+5/12*(dir!P159+op!P408+obp!P300)</f>
        <v>420</v>
      </c>
      <c r="K36" s="843">
        <f>7/12*(dir!P159+op!P408+obp!P300)+5/12*(dir!P181+op!P475+obp!P342)</f>
        <v>420</v>
      </c>
      <c r="L36" s="65"/>
      <c r="M36" s="410"/>
    </row>
    <row r="37" spans="2:13" x14ac:dyDescent="0.3">
      <c r="B37" s="61"/>
      <c r="C37" s="1148"/>
      <c r="D37" s="1145"/>
      <c r="E37" s="123"/>
      <c r="F37" s="546"/>
      <c r="G37" s="546"/>
      <c r="H37" s="546"/>
      <c r="I37" s="546"/>
      <c r="J37" s="546"/>
      <c r="K37" s="546"/>
      <c r="L37" s="65"/>
    </row>
    <row r="38" spans="2:13" x14ac:dyDescent="0.3">
      <c r="B38" s="61"/>
      <c r="C38" s="1149"/>
      <c r="D38" s="1150"/>
      <c r="E38" s="423"/>
      <c r="F38" s="539"/>
      <c r="G38" s="539"/>
      <c r="H38" s="539"/>
      <c r="I38" s="539"/>
      <c r="J38" s="539"/>
      <c r="K38" s="539"/>
      <c r="L38" s="65"/>
    </row>
    <row r="39" spans="2:13" x14ac:dyDescent="0.3">
      <c r="B39" s="61"/>
      <c r="C39" s="255"/>
      <c r="D39" s="1142"/>
      <c r="E39" s="436"/>
      <c r="F39" s="561"/>
      <c r="G39" s="561"/>
      <c r="H39" s="561"/>
      <c r="I39" s="561"/>
      <c r="J39" s="561"/>
      <c r="K39" s="561"/>
      <c r="L39" s="65"/>
    </row>
    <row r="40" spans="2:13" x14ac:dyDescent="0.3">
      <c r="B40" s="61"/>
      <c r="C40" s="122"/>
      <c r="D40" s="1151" t="s">
        <v>541</v>
      </c>
      <c r="E40" s="1143"/>
      <c r="F40" s="1144">
        <f t="shared" ref="F40:K40" si="2">F8</f>
        <v>2021</v>
      </c>
      <c r="G40" s="1144">
        <f t="shared" si="2"/>
        <v>2022</v>
      </c>
      <c r="H40" s="1144">
        <f t="shared" si="2"/>
        <v>2023</v>
      </c>
      <c r="I40" s="1144">
        <f t="shared" si="2"/>
        <v>2024</v>
      </c>
      <c r="J40" s="1144">
        <f t="shared" si="2"/>
        <v>2025</v>
      </c>
      <c r="K40" s="1144">
        <f t="shared" si="2"/>
        <v>2026</v>
      </c>
      <c r="L40" s="65"/>
    </row>
    <row r="41" spans="2:13" x14ac:dyDescent="0.3">
      <c r="B41" s="61"/>
      <c r="C41" s="1148"/>
      <c r="D41" s="1147" t="s">
        <v>533</v>
      </c>
      <c r="E41" s="123"/>
      <c r="F41" s="926">
        <f>geg!G25/F59</f>
        <v>44</v>
      </c>
      <c r="G41" s="926">
        <f>geg!H25/G59</f>
        <v>39</v>
      </c>
      <c r="H41" s="926">
        <f>geg!I25/H59</f>
        <v>39</v>
      </c>
      <c r="I41" s="926">
        <f>geg!J25/I59</f>
        <v>39</v>
      </c>
      <c r="J41" s="926">
        <f>geg!K25/J59</f>
        <v>39</v>
      </c>
      <c r="K41" s="926">
        <f>geg!L25/K59</f>
        <v>39</v>
      </c>
      <c r="L41" s="65"/>
    </row>
    <row r="42" spans="2:13" x14ac:dyDescent="0.3">
      <c r="B42" s="61"/>
      <c r="C42" s="1148"/>
      <c r="D42" s="1147" t="s">
        <v>534</v>
      </c>
      <c r="E42" s="123"/>
      <c r="F42" s="1154">
        <f>geg!G25/F56</f>
        <v>132</v>
      </c>
      <c r="G42" s="1154">
        <f>geg!H25/G56</f>
        <v>117</v>
      </c>
      <c r="H42" s="1154">
        <f>geg!I25/H56</f>
        <v>117</v>
      </c>
      <c r="I42" s="1154">
        <f>geg!J25/I56</f>
        <v>117</v>
      </c>
      <c r="J42" s="1154">
        <f>geg!K25/J56</f>
        <v>117</v>
      </c>
      <c r="K42" s="1154">
        <f>geg!L25/K56</f>
        <v>117</v>
      </c>
      <c r="L42" s="65"/>
    </row>
    <row r="43" spans="2:13" x14ac:dyDescent="0.3">
      <c r="B43" s="61"/>
      <c r="C43" s="1148"/>
      <c r="D43" s="1147" t="s">
        <v>535</v>
      </c>
      <c r="E43" s="123"/>
      <c r="F43" s="1154">
        <f>geg!G25/F57</f>
        <v>132</v>
      </c>
      <c r="G43" s="1154">
        <f>geg!H25/G57</f>
        <v>117</v>
      </c>
      <c r="H43" s="1154">
        <f>geg!I25/H57</f>
        <v>117</v>
      </c>
      <c r="I43" s="1154">
        <f>geg!J25/I57</f>
        <v>117</v>
      </c>
      <c r="J43" s="1154">
        <f>geg!K25/J57</f>
        <v>117</v>
      </c>
      <c r="K43" s="1154">
        <f>geg!L25/K57</f>
        <v>117</v>
      </c>
      <c r="L43" s="65"/>
    </row>
    <row r="44" spans="2:13" x14ac:dyDescent="0.3">
      <c r="B44" s="61"/>
      <c r="C44" s="1148"/>
      <c r="D44" s="1171" t="s">
        <v>536</v>
      </c>
      <c r="E44" s="123"/>
      <c r="F44" s="1154">
        <f>geg!G25/F58</f>
        <v>132</v>
      </c>
      <c r="G44" s="1154">
        <f>geg!H25/G58</f>
        <v>117</v>
      </c>
      <c r="H44" s="1154">
        <f>geg!I25/H58</f>
        <v>117</v>
      </c>
      <c r="I44" s="1154">
        <f>geg!J25/I58</f>
        <v>117</v>
      </c>
      <c r="J44" s="1154">
        <f>geg!K25/J58</f>
        <v>117</v>
      </c>
      <c r="K44" s="1154">
        <f>geg!L25/K58</f>
        <v>117</v>
      </c>
      <c r="L44" s="65"/>
    </row>
    <row r="45" spans="2:13" x14ac:dyDescent="0.3">
      <c r="B45" s="61"/>
      <c r="C45" s="1148"/>
      <c r="D45" s="1147" t="s">
        <v>537</v>
      </c>
      <c r="E45" s="123"/>
      <c r="F45" s="1152">
        <f>begr!G19/geg!G25</f>
        <v>14053.895039843435</v>
      </c>
      <c r="G45" s="1152">
        <f>begr!H19/geg!H25</f>
        <v>14591.668787898006</v>
      </c>
      <c r="H45" s="1152">
        <f>begr!I19/geg!I25</f>
        <v>14124.486953888891</v>
      </c>
      <c r="I45" s="1152">
        <f>begr!J19/geg!J25</f>
        <v>14226.69405594017</v>
      </c>
      <c r="J45" s="1152">
        <f>begr!K19/geg!K25</f>
        <v>14328.901157991451</v>
      </c>
      <c r="K45" s="1152">
        <f>begr!L19/geg!L25</f>
        <v>14366.060429059828</v>
      </c>
      <c r="L45" s="65"/>
    </row>
    <row r="46" spans="2:13" x14ac:dyDescent="0.3">
      <c r="B46" s="61"/>
      <c r="C46" s="1148"/>
      <c r="D46" s="1147" t="s">
        <v>538</v>
      </c>
      <c r="E46" s="123"/>
      <c r="F46" s="1152">
        <f>begr!G27/geg!G25</f>
        <v>1890.5607644893787</v>
      </c>
      <c r="G46" s="1152">
        <f>begr!H27/geg!H25</f>
        <v>2151.1738916966765</v>
      </c>
      <c r="H46" s="1152">
        <f>begr!I27/geg!I25</f>
        <v>2583.4856339160142</v>
      </c>
      <c r="I46" s="1152">
        <f>begr!J27/geg!J25</f>
        <v>2262.0179657192321</v>
      </c>
      <c r="J46" s="1152">
        <f>begr!K27/geg!K25</f>
        <v>2314.5033925287094</v>
      </c>
      <c r="K46" s="1152">
        <f>begr!L27/geg!L25</f>
        <v>2353.5105361586375</v>
      </c>
      <c r="L46" s="65"/>
    </row>
    <row r="47" spans="2:13" x14ac:dyDescent="0.3">
      <c r="B47" s="61"/>
      <c r="C47" s="122"/>
      <c r="D47" s="1145"/>
      <c r="E47" s="123"/>
      <c r="F47" s="549"/>
      <c r="G47" s="546"/>
      <c r="H47" s="546"/>
      <c r="I47" s="546"/>
      <c r="J47" s="546"/>
      <c r="K47" s="546"/>
      <c r="L47" s="65"/>
    </row>
    <row r="48" spans="2:13" x14ac:dyDescent="0.3">
      <c r="B48" s="61"/>
      <c r="C48" s="122"/>
      <c r="D48" s="1145" t="s">
        <v>207</v>
      </c>
      <c r="E48" s="123"/>
      <c r="F48" s="1025">
        <f>pers!I160/pers!I163</f>
        <v>0.33802756946683565</v>
      </c>
      <c r="G48" s="1025">
        <f>pers!J160/pers!J163</f>
        <v>0.34073218168952207</v>
      </c>
      <c r="H48" s="1025">
        <f>pers!K160/pers!K163</f>
        <v>0.34206902809143208</v>
      </c>
      <c r="I48" s="1025">
        <f>pers!L160/pers!L163</f>
        <v>0.34303308648699959</v>
      </c>
      <c r="J48" s="1025">
        <f>pers!M160/pers!M163</f>
        <v>0.34422710895441261</v>
      </c>
      <c r="K48" s="1025">
        <f>pers!N160/pers!N163</f>
        <v>0.34800948893991046</v>
      </c>
      <c r="L48" s="65"/>
    </row>
    <row r="49" spans="2:12" x14ac:dyDescent="0.3">
      <c r="B49" s="61"/>
      <c r="C49" s="122"/>
      <c r="D49" s="1145" t="s">
        <v>208</v>
      </c>
      <c r="E49" s="123"/>
      <c r="F49" s="1025">
        <f>pers!I161/pers!I163</f>
        <v>0.36429741155858325</v>
      </c>
      <c r="G49" s="1025">
        <f>pers!J161/pers!J163</f>
        <v>0.3662410899768182</v>
      </c>
      <c r="H49" s="1025">
        <f>pers!K161/pers!K163</f>
        <v>0.36850958540500145</v>
      </c>
      <c r="I49" s="1025">
        <f>pers!L161/pers!L163</f>
        <v>0.37039447649127738</v>
      </c>
      <c r="J49" s="1025">
        <f>pers!M161/pers!M163</f>
        <v>0.37409011596285074</v>
      </c>
      <c r="K49" s="1025">
        <f>pers!N161/pers!N163</f>
        <v>0.37585822977068606</v>
      </c>
      <c r="L49" s="65"/>
    </row>
    <row r="50" spans="2:12" x14ac:dyDescent="0.3">
      <c r="B50" s="61"/>
      <c r="C50" s="122"/>
      <c r="D50" s="1145" t="s">
        <v>460</v>
      </c>
      <c r="E50" s="123"/>
      <c r="F50" s="1025">
        <f>pers!I162/pers!I163</f>
        <v>0.2976750189745811</v>
      </c>
      <c r="G50" s="1025">
        <f>pers!J162/pers!J163</f>
        <v>0.29302672833365961</v>
      </c>
      <c r="H50" s="1025">
        <f>pers!K162/pers!K163</f>
        <v>0.28942138650356625</v>
      </c>
      <c r="I50" s="1025">
        <f>pers!L162/pers!L163</f>
        <v>0.28657243702172286</v>
      </c>
      <c r="J50" s="1025">
        <f>pers!M162/pers!M163</f>
        <v>0.28168277508273659</v>
      </c>
      <c r="K50" s="1025">
        <f>pers!N162/pers!N163</f>
        <v>0.27613228128940354</v>
      </c>
      <c r="L50" s="65"/>
    </row>
    <row r="51" spans="2:12" x14ac:dyDescent="0.3">
      <c r="B51" s="61"/>
      <c r="C51" s="122"/>
      <c r="D51" s="1145" t="s">
        <v>271</v>
      </c>
      <c r="E51" s="123"/>
      <c r="F51" s="924">
        <f>pers!I160/geg!G25</f>
        <v>506.72087054998445</v>
      </c>
      <c r="G51" s="924">
        <f>pers!J160/geg!H25</f>
        <v>605.56363528642021</v>
      </c>
      <c r="H51" s="924">
        <f>pers!K160/geg!I25</f>
        <v>627.90956553994533</v>
      </c>
      <c r="I51" s="924">
        <f>pers!L160/geg!J25</f>
        <v>647.67608537735123</v>
      </c>
      <c r="J51" s="924">
        <f>pers!M160/geg!K25</f>
        <v>667.99740962272608</v>
      </c>
      <c r="K51" s="924">
        <f>pers!N160/geg!L25</f>
        <v>688.91224556034695</v>
      </c>
      <c r="L51" s="65"/>
    </row>
    <row r="52" spans="2:12" x14ac:dyDescent="0.3">
      <c r="B52" s="61"/>
      <c r="C52" s="122"/>
      <c r="D52" s="1145" t="s">
        <v>272</v>
      </c>
      <c r="E52" s="123"/>
      <c r="F52" s="924">
        <f>pers!I161/geg!G25</f>
        <v>546.10072727272734</v>
      </c>
      <c r="G52" s="924">
        <f>pers!J161/geg!H25</f>
        <v>650.89914529914518</v>
      </c>
      <c r="H52" s="924">
        <f>pers!K161/geg!I25</f>
        <v>676.44444444444446</v>
      </c>
      <c r="I52" s="924">
        <f>pers!L161/geg!J25</f>
        <v>699.33675213675212</v>
      </c>
      <c r="J52" s="924">
        <f>pers!M161/geg!K25</f>
        <v>725.9487179487179</v>
      </c>
      <c r="K52" s="924">
        <f>pers!N161/geg!L25</f>
        <v>744.04102564102561</v>
      </c>
      <c r="L52" s="65"/>
    </row>
    <row r="53" spans="2:12" x14ac:dyDescent="0.3">
      <c r="B53" s="61"/>
      <c r="C53" s="122"/>
      <c r="D53" s="1145" t="s">
        <v>461</v>
      </c>
      <c r="E53" s="123"/>
      <c r="F53" s="924">
        <f>pers!I162/geg!G25</f>
        <v>446.23030303030311</v>
      </c>
      <c r="G53" s="924">
        <f>pers!J162/geg!H25</f>
        <v>520.77948717948732</v>
      </c>
      <c r="H53" s="924">
        <f>pers!K162/geg!I25</f>
        <v>531.26837606837614</v>
      </c>
      <c r="I53" s="924">
        <f>pers!L162/geg!J25</f>
        <v>541.07350427350434</v>
      </c>
      <c r="J53" s="924">
        <f>pers!M162/geg!K25</f>
        <v>546.62564102564124</v>
      </c>
      <c r="K53" s="924">
        <f>pers!N162/geg!L25</f>
        <v>546.62564102564124</v>
      </c>
      <c r="L53" s="65"/>
    </row>
    <row r="54" spans="2:12" x14ac:dyDescent="0.3">
      <c r="B54" s="61"/>
      <c r="C54" s="122"/>
      <c r="D54" s="826"/>
      <c r="E54" s="123"/>
      <c r="F54" s="549"/>
      <c r="G54" s="546"/>
      <c r="H54" s="546"/>
      <c r="I54" s="546"/>
      <c r="J54" s="546"/>
      <c r="K54" s="546"/>
      <c r="L54" s="65"/>
    </row>
    <row r="55" spans="2:12" x14ac:dyDescent="0.3">
      <c r="B55" s="61"/>
      <c r="C55" s="122"/>
      <c r="D55" s="872" t="s">
        <v>507</v>
      </c>
      <c r="E55" s="873"/>
      <c r="F55" s="1023" t="str">
        <f>tab!B2</f>
        <v>2020/21</v>
      </c>
      <c r="G55" s="1023" t="str">
        <f>tab!C2</f>
        <v>2021/22</v>
      </c>
      <c r="H55" s="1023" t="str">
        <f>tab!D2</f>
        <v>2022/23</v>
      </c>
      <c r="I55" s="1023" t="str">
        <f>tab!E2</f>
        <v>2023/24</v>
      </c>
      <c r="J55" s="1023" t="str">
        <f>tab!F2</f>
        <v>2024/25</v>
      </c>
      <c r="K55" s="1023" t="str">
        <f>tab!G2</f>
        <v>2025/26</v>
      </c>
      <c r="L55" s="65"/>
    </row>
    <row r="56" spans="2:12" x14ac:dyDescent="0.3">
      <c r="B56" s="61"/>
      <c r="C56" s="122"/>
      <c r="D56" s="484" t="s">
        <v>170</v>
      </c>
      <c r="E56" s="484"/>
      <c r="F56" s="926">
        <f>dir!J48</f>
        <v>1</v>
      </c>
      <c r="G56" s="926">
        <f>dir!J71</f>
        <v>1</v>
      </c>
      <c r="H56" s="926">
        <f>dir!J93</f>
        <v>1</v>
      </c>
      <c r="I56" s="926">
        <f>dir!J115</f>
        <v>1</v>
      </c>
      <c r="J56" s="926">
        <f>dir!J137</f>
        <v>1</v>
      </c>
      <c r="K56" s="926">
        <f>dir!J159</f>
        <v>1</v>
      </c>
      <c r="L56" s="65"/>
    </row>
    <row r="57" spans="2:12" x14ac:dyDescent="0.3">
      <c r="B57" s="61"/>
      <c r="C57" s="122"/>
      <c r="D57" s="484" t="s">
        <v>182</v>
      </c>
      <c r="E57" s="484"/>
      <c r="F57" s="926">
        <f>op!J71</f>
        <v>1</v>
      </c>
      <c r="G57" s="926">
        <f>op!J139</f>
        <v>1</v>
      </c>
      <c r="H57" s="926">
        <f>op!J207</f>
        <v>1</v>
      </c>
      <c r="I57" s="926">
        <f>op!J274</f>
        <v>1</v>
      </c>
      <c r="J57" s="926">
        <f>op!J341</f>
        <v>1</v>
      </c>
      <c r="K57" s="926">
        <f>op!J408</f>
        <v>1</v>
      </c>
      <c r="L57" s="65"/>
    </row>
    <row r="58" spans="2:12" x14ac:dyDescent="0.3">
      <c r="B58" s="61"/>
      <c r="C58" s="122"/>
      <c r="D58" s="484" t="s">
        <v>450</v>
      </c>
      <c r="E58" s="484"/>
      <c r="F58" s="926">
        <f>obp!J46</f>
        <v>1</v>
      </c>
      <c r="G58" s="926">
        <f>obp!J89</f>
        <v>1</v>
      </c>
      <c r="H58" s="926">
        <f>obp!J132</f>
        <v>1</v>
      </c>
      <c r="I58" s="926">
        <f>obp!J174</f>
        <v>1</v>
      </c>
      <c r="J58" s="926">
        <f>obp!J258</f>
        <v>1</v>
      </c>
      <c r="K58" s="926">
        <f>obp!J300</f>
        <v>1</v>
      </c>
      <c r="L58" s="65"/>
    </row>
    <row r="59" spans="2:12" x14ac:dyDescent="0.3">
      <c r="B59" s="61"/>
      <c r="C59" s="122"/>
      <c r="D59" s="1155" t="s">
        <v>179</v>
      </c>
      <c r="E59" s="1156"/>
      <c r="F59" s="1168">
        <f t="shared" ref="F59:K59" si="3">SUM(F56:F58)</f>
        <v>3</v>
      </c>
      <c r="G59" s="1168">
        <f t="shared" si="3"/>
        <v>3</v>
      </c>
      <c r="H59" s="1168">
        <f t="shared" si="3"/>
        <v>3</v>
      </c>
      <c r="I59" s="1168">
        <f t="shared" si="3"/>
        <v>3</v>
      </c>
      <c r="J59" s="1168">
        <f t="shared" si="3"/>
        <v>3</v>
      </c>
      <c r="K59" s="1168">
        <f t="shared" si="3"/>
        <v>3</v>
      </c>
      <c r="L59" s="65"/>
    </row>
    <row r="60" spans="2:12" x14ac:dyDescent="0.3">
      <c r="B60" s="61"/>
      <c r="C60" s="122"/>
      <c r="D60" s="1145"/>
      <c r="E60" s="123"/>
      <c r="F60" s="591"/>
      <c r="G60" s="591"/>
      <c r="H60" s="591"/>
      <c r="I60" s="591"/>
      <c r="J60" s="591"/>
      <c r="K60" s="591"/>
      <c r="L60" s="65"/>
    </row>
    <row r="61" spans="2:12" x14ac:dyDescent="0.3">
      <c r="B61" s="61"/>
      <c r="C61" s="706"/>
      <c r="D61" s="1157"/>
      <c r="E61" s="706"/>
      <c r="F61" s="569"/>
      <c r="G61" s="569"/>
      <c r="H61" s="569"/>
      <c r="I61" s="569"/>
      <c r="J61" s="569"/>
      <c r="K61" s="569"/>
      <c r="L61" s="65"/>
    </row>
    <row r="62" spans="2:12" x14ac:dyDescent="0.3">
      <c r="B62" s="61"/>
      <c r="C62" s="1158"/>
      <c r="D62" s="1159"/>
      <c r="E62" s="944"/>
      <c r="F62" s="1160"/>
      <c r="G62" s="1160"/>
      <c r="H62" s="1160"/>
      <c r="I62" s="1160"/>
      <c r="J62" s="1160"/>
      <c r="K62" s="1160"/>
      <c r="L62" s="65"/>
    </row>
    <row r="63" spans="2:12" x14ac:dyDescent="0.3">
      <c r="B63" s="61"/>
      <c r="C63" s="205"/>
      <c r="D63" s="1022" t="s">
        <v>212</v>
      </c>
      <c r="E63" s="1161"/>
      <c r="F63" s="1144">
        <f t="shared" ref="F63:K63" si="4">F8</f>
        <v>2021</v>
      </c>
      <c r="G63" s="1144">
        <f t="shared" si="4"/>
        <v>2022</v>
      </c>
      <c r="H63" s="1144">
        <f t="shared" si="4"/>
        <v>2023</v>
      </c>
      <c r="I63" s="1144">
        <f t="shared" si="4"/>
        <v>2024</v>
      </c>
      <c r="J63" s="1144">
        <f t="shared" si="4"/>
        <v>2025</v>
      </c>
      <c r="K63" s="1144">
        <f t="shared" si="4"/>
        <v>2026</v>
      </c>
      <c r="L63" s="65"/>
    </row>
    <row r="64" spans="2:12" x14ac:dyDescent="0.3">
      <c r="B64" s="61"/>
      <c r="C64" s="122"/>
      <c r="D64" s="826" t="s">
        <v>539</v>
      </c>
      <c r="E64" s="112"/>
      <c r="F64" s="926">
        <f>IF(geg!$G25=0,0,geg!G25/geg!$G$25)</f>
        <v>1</v>
      </c>
      <c r="G64" s="926">
        <f>IF(geg!$G25=0,0,geg!H25/geg!$G$25)</f>
        <v>0.88636363636363635</v>
      </c>
      <c r="H64" s="926">
        <f>IF(geg!$G25=0,0,geg!I25/geg!$G$25)</f>
        <v>0.88636363636363635</v>
      </c>
      <c r="I64" s="926">
        <f>IF(geg!$G25=0,0,geg!J25/geg!$G$25)</f>
        <v>0.88636363636363635</v>
      </c>
      <c r="J64" s="926">
        <f>IF(geg!$G25=0,0,geg!K25/geg!$G$25)</f>
        <v>0.88636363636363635</v>
      </c>
      <c r="K64" s="926">
        <f>IF(geg!$G25=0,0,geg!L25/geg!$G$25)</f>
        <v>0.88636363636363635</v>
      </c>
      <c r="L64" s="65"/>
    </row>
    <row r="65" spans="2:12" x14ac:dyDescent="0.3">
      <c r="B65" s="61"/>
      <c r="C65" s="122"/>
      <c r="D65" s="590" t="s">
        <v>26</v>
      </c>
      <c r="E65" s="112"/>
      <c r="F65" s="926">
        <f>IF(geg!$G30=0,0,geg!G30/geg!$G$30)</f>
        <v>1</v>
      </c>
      <c r="G65" s="926">
        <f>IF(geg!$G30=0,0,geg!H30/geg!$G$30)</f>
        <v>1</v>
      </c>
      <c r="H65" s="926">
        <f>IF(geg!$G30=0,0,geg!I30/geg!$G$30)</f>
        <v>1</v>
      </c>
      <c r="I65" s="926">
        <f>IF(geg!$G30=0,0,geg!J30/geg!$G$30)</f>
        <v>1</v>
      </c>
      <c r="J65" s="926">
        <f>IF(geg!$G30=0,0,geg!K30/geg!$G$30)</f>
        <v>1</v>
      </c>
      <c r="K65" s="926">
        <f>IF(geg!$G30=0,0,geg!L30/geg!$G$30)</f>
        <v>1</v>
      </c>
      <c r="L65" s="65"/>
    </row>
    <row r="66" spans="2:12" x14ac:dyDescent="0.3">
      <c r="B66" s="61"/>
      <c r="C66" s="122"/>
      <c r="D66" s="590" t="s">
        <v>307</v>
      </c>
      <c r="E66" s="112"/>
      <c r="F66" s="926">
        <f>IF(ken!$G59=0,0,ken!G59/ken!$G$59)</f>
        <v>1</v>
      </c>
      <c r="G66" s="926">
        <f>IF(ken!$G59=0,0,ken!H59/ken!$G$59)</f>
        <v>1</v>
      </c>
      <c r="H66" s="926">
        <f>IF(ken!$G59=0,0,ken!I59/ken!$G$59)</f>
        <v>1</v>
      </c>
      <c r="I66" s="926">
        <f>IF(ken!$G59=0,0,ken!J59/ken!$G$59)</f>
        <v>1</v>
      </c>
      <c r="J66" s="926">
        <f>I66</f>
        <v>1</v>
      </c>
      <c r="K66" s="926">
        <f>J66</f>
        <v>1</v>
      </c>
      <c r="L66" s="65"/>
    </row>
    <row r="67" spans="2:12" x14ac:dyDescent="0.3">
      <c r="B67" s="61"/>
      <c r="C67" s="122"/>
      <c r="D67" s="590" t="s">
        <v>254</v>
      </c>
      <c r="E67" s="112"/>
      <c r="F67" s="926">
        <f>IF(begr!$G19=0,0,begr!G19/begr!$G$19)</f>
        <v>1</v>
      </c>
      <c r="G67" s="926">
        <f>IF(begr!$G19=0,0,begr!H19/begr!$G$19)</f>
        <v>0.92028043263365189</v>
      </c>
      <c r="H67" s="926">
        <f>IF(begr!$G19=0,0,begr!I19/begr!$G$19)</f>
        <v>0.89081579040732384</v>
      </c>
      <c r="I67" s="926">
        <f>IF(begr!$G19=0,0,begr!J19/begr!$G$19)</f>
        <v>0.89726187943670155</v>
      </c>
      <c r="J67" s="926">
        <f>IF(begr!$G19=0,0,begr!K19/begr!$G$19)</f>
        <v>0.90370796846607948</v>
      </c>
      <c r="K67" s="926">
        <f>IF(begr!$G19=0,0,begr!L19/begr!$G$19)</f>
        <v>0.90605156264658326</v>
      </c>
      <c r="L67" s="65"/>
    </row>
    <row r="68" spans="2:12" x14ac:dyDescent="0.3">
      <c r="B68" s="61"/>
      <c r="C68" s="122"/>
      <c r="D68" s="590" t="s">
        <v>259</v>
      </c>
      <c r="E68" s="112"/>
      <c r="F68" s="926">
        <f>IF(begr!$G14=0,0,begr!G14/begr!$G$14)</f>
        <v>1</v>
      </c>
      <c r="G68" s="926">
        <f>IF(begr!$G14=0,0,begr!H14/begr!$G$14)</f>
        <v>0.92028043263365189</v>
      </c>
      <c r="H68" s="926">
        <f>IF(begr!$G14=0,0,begr!I14/begr!$G$14)</f>
        <v>0.89081579040732384</v>
      </c>
      <c r="I68" s="926">
        <f>IF(begr!$G14=0,0,begr!J14/begr!$G$14)</f>
        <v>0.89726187943670155</v>
      </c>
      <c r="J68" s="926">
        <f>IF(begr!$G14=0,0,begr!K14/begr!$G$14)</f>
        <v>0.90370796846607948</v>
      </c>
      <c r="K68" s="926">
        <f>IF(begr!$G14=0,0,begr!L14/begr!$G$14)</f>
        <v>0.90605156264658326</v>
      </c>
      <c r="L68" s="65"/>
    </row>
    <row r="69" spans="2:12" x14ac:dyDescent="0.3">
      <c r="B69" s="61"/>
      <c r="C69" s="122"/>
      <c r="D69" s="590" t="s">
        <v>260</v>
      </c>
      <c r="E69" s="112"/>
      <c r="F69" s="926">
        <f>IF(begr!$G15=0,0,begr!G15/begr!$G$15)</f>
        <v>0</v>
      </c>
      <c r="G69" s="926">
        <f>IF(begr!$G15=0,0,begr!H15/begr!$G$15)</f>
        <v>0</v>
      </c>
      <c r="H69" s="926">
        <f>IF(begr!$G15=0,0,begr!I15/begr!$G$15)</f>
        <v>0</v>
      </c>
      <c r="I69" s="926">
        <f>IF(begr!$G15=0,0,begr!J15/begr!$G$15)</f>
        <v>0</v>
      </c>
      <c r="J69" s="926">
        <f>IF(begr!$G15=0,0,begr!K15/begr!$G$15)</f>
        <v>0</v>
      </c>
      <c r="K69" s="926">
        <f>IF(begr!$G15=0,0,begr!L15/begr!$G$15)</f>
        <v>0</v>
      </c>
      <c r="L69" s="65"/>
    </row>
    <row r="70" spans="2:12" x14ac:dyDescent="0.3">
      <c r="B70" s="61"/>
      <c r="C70" s="122"/>
      <c r="D70" s="590" t="s">
        <v>217</v>
      </c>
      <c r="E70" s="112"/>
      <c r="F70" s="926">
        <f>IF(begr!$G17=0,0,begr!G17/begr!$G$17)</f>
        <v>0</v>
      </c>
      <c r="G70" s="926">
        <f>IF(begr!$G17=0,0,begr!H17/begr!$G$17)</f>
        <v>0</v>
      </c>
      <c r="H70" s="926">
        <f>IF(begr!$G17=0,0,begr!I17/begr!$G$17)</f>
        <v>0</v>
      </c>
      <c r="I70" s="926">
        <f>IF(begr!$G17=0,0,begr!J17/begr!$G$17)</f>
        <v>0</v>
      </c>
      <c r="J70" s="926">
        <f>IF(begr!$G17=0,0,begr!K17/begr!$G$17)</f>
        <v>0</v>
      </c>
      <c r="K70" s="926">
        <f>IF(begr!$G17=0,0,begr!L17/begr!$G$17)</f>
        <v>0</v>
      </c>
      <c r="L70" s="65"/>
    </row>
    <row r="71" spans="2:12" x14ac:dyDescent="0.3">
      <c r="B71" s="61"/>
      <c r="C71" s="122"/>
      <c r="D71" s="590" t="s">
        <v>261</v>
      </c>
      <c r="E71" s="112"/>
      <c r="F71" s="926">
        <f>IF(begr!$G18=0,0,begr!G18/begr!$G$18)</f>
        <v>0</v>
      </c>
      <c r="G71" s="926">
        <f>IF(begr!$G18=0,0,begr!H18/begr!$G$18)</f>
        <v>0</v>
      </c>
      <c r="H71" s="926">
        <f>IF(begr!$G18=0,0,begr!I18/begr!$G$18)</f>
        <v>0</v>
      </c>
      <c r="I71" s="926">
        <f>IF(begr!$G18=0,0,begr!J18/begr!$G$18)</f>
        <v>0</v>
      </c>
      <c r="J71" s="926">
        <f>IF(begr!$G18=0,0,begr!K18/begr!$G$18)</f>
        <v>0</v>
      </c>
      <c r="K71" s="926">
        <f>IF(begr!$G18=0,0,begr!L18/begr!$G$18)</f>
        <v>0</v>
      </c>
      <c r="L71" s="65"/>
    </row>
    <row r="72" spans="2:12" x14ac:dyDescent="0.3">
      <c r="B72" s="61"/>
      <c r="C72" s="122"/>
      <c r="D72" s="590" t="s">
        <v>255</v>
      </c>
      <c r="E72" s="112"/>
      <c r="F72" s="926">
        <f>IF(begr!$G27=0,0,begr!G27/begr!$G$27)</f>
        <v>1</v>
      </c>
      <c r="G72" s="926">
        <f>IF(begr!$G27=0,0,begr!H27/begr!$G$27)</f>
        <v>1.0085485475574059</v>
      </c>
      <c r="H72" s="926">
        <f>IF(begr!$G27=0,0,begr!I27/begr!$G$27)</f>
        <v>1.2112320132643255</v>
      </c>
      <c r="I72" s="926">
        <f>IF(begr!$G27=0,0,begr!J27/begr!$G$27)</f>
        <v>1.0605162802880321</v>
      </c>
      <c r="J72" s="926">
        <f>IF(begr!$G27=0,0,begr!K27/begr!$G$27)</f>
        <v>1.0851233570013321</v>
      </c>
      <c r="K72" s="926">
        <f>IF(begr!$G27=0,0,begr!L27/begr!$G$27)</f>
        <v>1.1034113244242254</v>
      </c>
      <c r="L72" s="65"/>
    </row>
    <row r="73" spans="2:12" x14ac:dyDescent="0.3">
      <c r="B73" s="61"/>
      <c r="C73" s="122"/>
      <c r="D73" s="590" t="s">
        <v>306</v>
      </c>
      <c r="E73" s="112"/>
      <c r="F73" s="926">
        <f>IF(begr!$G21=0,0,begr!G21/begr!$G$21)</f>
        <v>1</v>
      </c>
      <c r="G73" s="926">
        <f>IF(begr!$G21=0,0,begr!H21/begr!$G$21)</f>
        <v>1.0508528212125241</v>
      </c>
      <c r="H73" s="926">
        <f>IF(begr!$G21=0,0,begr!I21/begr!$G$21)</f>
        <v>1.0853719822284913</v>
      </c>
      <c r="I73" s="926">
        <f>IF(begr!$G21=0,0,begr!J21/begr!$G$21)</f>
        <v>1.1163930179622734</v>
      </c>
      <c r="J73" s="926">
        <f>IF(begr!$G21=0,0,begr!K21/begr!$G$21)</f>
        <v>1.1474267491736301</v>
      </c>
      <c r="K73" s="926">
        <f>IF(begr!$G21=0,0,begr!L21/begr!$G$21)</f>
        <v>1.1704910030879259</v>
      </c>
      <c r="L73" s="65"/>
    </row>
    <row r="74" spans="2:12" x14ac:dyDescent="0.3">
      <c r="B74" s="61"/>
      <c r="C74" s="122"/>
      <c r="D74" s="590" t="s">
        <v>305</v>
      </c>
      <c r="E74" s="112"/>
      <c r="F74" s="926">
        <f>IF(begr!$G22=0,0,begr!G22/begr!$G$22)</f>
        <v>1</v>
      </c>
      <c r="G74" s="926">
        <f>IF(begr!$G22=0,0,begr!H22/begr!$G$22)</f>
        <v>0</v>
      </c>
      <c r="H74" s="926">
        <f>IF(begr!$G22=0,0,begr!I22/begr!$G$22)</f>
        <v>0</v>
      </c>
      <c r="I74" s="926">
        <f>IF(begr!$G22=0,0,begr!J22/begr!$G$22)</f>
        <v>0</v>
      </c>
      <c r="J74" s="926">
        <f>IF(begr!$G22=0,0,begr!K22/begr!$G$22)</f>
        <v>0</v>
      </c>
      <c r="K74" s="926">
        <f>IF(begr!$G22=0,0,begr!L22/begr!$G$22)</f>
        <v>0</v>
      </c>
      <c r="L74" s="65"/>
    </row>
    <row r="75" spans="2:12" x14ac:dyDescent="0.3">
      <c r="B75" s="61"/>
      <c r="C75" s="122"/>
      <c r="D75" s="590" t="s">
        <v>258</v>
      </c>
      <c r="E75" s="112"/>
      <c r="F75" s="926">
        <f>IF(begr!$G24=0,0,begr!G24/begr!$G$24)</f>
        <v>1</v>
      </c>
      <c r="G75" s="926">
        <f>IF(begr!$G24=0,0,begr!H24/begr!$G$24)</f>
        <v>1</v>
      </c>
      <c r="H75" s="926">
        <f>IF(begr!$G24=0,0,begr!I24/begr!$G$24)</f>
        <v>2</v>
      </c>
      <c r="I75" s="926">
        <f>IF(begr!$G24=0,0,begr!J24/begr!$G$24)</f>
        <v>1</v>
      </c>
      <c r="J75" s="926">
        <f>IF(begr!$G24=0,0,begr!K24/begr!$G$24)</f>
        <v>1</v>
      </c>
      <c r="K75" s="926">
        <f>IF(begr!$G24=0,0,begr!L24/begr!$G$24)</f>
        <v>1</v>
      </c>
      <c r="L75" s="65"/>
    </row>
    <row r="76" spans="2:12" x14ac:dyDescent="0.3">
      <c r="B76" s="61"/>
      <c r="C76" s="122"/>
      <c r="D76" s="590" t="s">
        <v>395</v>
      </c>
      <c r="E76" s="112"/>
      <c r="F76" s="926">
        <f>IF(begr!$G25=0,0,begr!G25/begr!$G$25)</f>
        <v>0</v>
      </c>
      <c r="G76" s="926">
        <f>IF(begr!$G25=0,0,begr!H25/begr!$G$25)</f>
        <v>0</v>
      </c>
      <c r="H76" s="926">
        <f>IF(begr!$G25=0,0,begr!I25/begr!$G$25)</f>
        <v>0</v>
      </c>
      <c r="I76" s="926">
        <f>IF(begr!$G25=0,0,begr!J25/begr!$G$25)</f>
        <v>0</v>
      </c>
      <c r="J76" s="926">
        <f>IF(begr!$G25=0,0,begr!K25/begr!$G$25)</f>
        <v>0</v>
      </c>
      <c r="K76" s="926">
        <f>IF(begr!$G25=0,0,begr!L25/begr!$G$25)</f>
        <v>0</v>
      </c>
      <c r="L76" s="65"/>
    </row>
    <row r="77" spans="2:12" x14ac:dyDescent="0.3">
      <c r="B77" s="61"/>
      <c r="C77" s="122"/>
      <c r="D77" s="115" t="s">
        <v>304</v>
      </c>
      <c r="E77" s="112"/>
      <c r="F77" s="926">
        <f>IF(begr!$G26=0,0,begr!G26/begr!$G$26)</f>
        <v>0</v>
      </c>
      <c r="G77" s="926">
        <f>IF(begr!$G26=0,0,begr!H26/begr!$G$26)</f>
        <v>0</v>
      </c>
      <c r="H77" s="926">
        <f>IF(begr!$G26=0,0,begr!I26/begr!$G$26)</f>
        <v>0</v>
      </c>
      <c r="I77" s="926">
        <f>IF(begr!$G26=0,0,begr!J26/begr!$G$26)</f>
        <v>0</v>
      </c>
      <c r="J77" s="926">
        <f>IF(begr!$G26=0,0,begr!K26/begr!$G$26)</f>
        <v>0</v>
      </c>
      <c r="K77" s="926">
        <f>IF(begr!$G26=0,0,begr!L26/begr!$G$26)</f>
        <v>0</v>
      </c>
      <c r="L77" s="65"/>
    </row>
    <row r="78" spans="2:12" x14ac:dyDescent="0.3">
      <c r="B78" s="61"/>
      <c r="C78" s="447"/>
      <c r="D78" s="1162"/>
      <c r="E78" s="448"/>
      <c r="F78" s="1163"/>
      <c r="G78" s="1163"/>
      <c r="H78" s="1163"/>
      <c r="I78" s="1163"/>
      <c r="J78" s="1163"/>
      <c r="K78" s="1163"/>
      <c r="L78" s="65"/>
    </row>
    <row r="79" spans="2:12" x14ac:dyDescent="0.3">
      <c r="B79" s="61"/>
      <c r="C79" s="423"/>
      <c r="D79" s="1169"/>
      <c r="E79" s="423"/>
      <c r="F79" s="1170"/>
      <c r="G79" s="1170"/>
      <c r="H79" s="1170"/>
      <c r="I79" s="1170"/>
      <c r="J79" s="1170"/>
      <c r="K79" s="1170"/>
      <c r="L79" s="65"/>
    </row>
    <row r="80" spans="2:12" x14ac:dyDescent="0.3">
      <c r="B80" s="80"/>
      <c r="C80" s="81"/>
      <c r="D80" s="347"/>
      <c r="E80" s="81"/>
      <c r="F80" s="499"/>
      <c r="G80" s="499"/>
      <c r="H80" s="499"/>
      <c r="I80" s="499"/>
      <c r="J80" s="499"/>
      <c r="K80" s="499"/>
      <c r="L80" s="84"/>
    </row>
  </sheetData>
  <sheetProtection algorithmName="SHA-512" hashValue="6S77p0Rc+4/aIkgMXEyG7p7KxGoS2pIeDzSjQIzsWQQ8S/zq76qSrCz77u+3yjRXXjGN8jjmNmLxa7wuVv8+EQ==" saltValue="i1e2KaBtoeHXzZsVLL76I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7"/>
  <dimension ref="B2:R173"/>
  <sheetViews>
    <sheetView zoomScale="85" zoomScaleNormal="85" zoomScaleSheetLayoutView="85" workbookViewId="0">
      <selection activeCell="B2" sqref="B2"/>
    </sheetView>
  </sheetViews>
  <sheetFormatPr defaultColWidth="9.109375" defaultRowHeight="13.8" x14ac:dyDescent="0.3"/>
  <cols>
    <col min="1" max="1" width="3.6640625" style="411" customWidth="1"/>
    <col min="2" max="2" width="2.6640625" style="411" customWidth="1"/>
    <col min="3" max="9" width="9.6640625" style="411" customWidth="1"/>
    <col min="10" max="10" width="5.6640625" style="411" customWidth="1"/>
    <col min="11" max="17" width="9.6640625" style="411" customWidth="1"/>
    <col min="18" max="18" width="2.6640625" style="411" customWidth="1"/>
    <col min="19" max="16384" width="9.109375" style="411"/>
  </cols>
  <sheetData>
    <row r="2" spans="2:18" x14ac:dyDescent="0.3">
      <c r="B2" s="572"/>
      <c r="C2" s="573"/>
      <c r="D2" s="573"/>
      <c r="E2" s="573"/>
      <c r="F2" s="573"/>
      <c r="G2" s="573"/>
      <c r="H2" s="573"/>
      <c r="I2" s="573"/>
      <c r="J2" s="573"/>
      <c r="K2" s="573"/>
      <c r="L2" s="573"/>
      <c r="M2" s="573"/>
      <c r="N2" s="573"/>
      <c r="O2" s="573"/>
      <c r="P2" s="573"/>
      <c r="Q2" s="573"/>
      <c r="R2" s="574"/>
    </row>
    <row r="3" spans="2:18" x14ac:dyDescent="0.3">
      <c r="B3" s="576"/>
      <c r="C3" s="575"/>
      <c r="D3" s="575"/>
      <c r="E3" s="575"/>
      <c r="F3" s="575"/>
      <c r="G3" s="575"/>
      <c r="H3" s="575"/>
      <c r="I3" s="575"/>
      <c r="J3" s="575"/>
      <c r="K3" s="575"/>
      <c r="L3" s="575"/>
      <c r="M3" s="575"/>
      <c r="N3" s="575"/>
      <c r="O3" s="575"/>
      <c r="P3" s="575"/>
      <c r="Q3" s="575"/>
      <c r="R3" s="577"/>
    </row>
    <row r="4" spans="2:18" s="412" customFormat="1" ht="18" x14ac:dyDescent="0.35">
      <c r="B4" s="578"/>
      <c r="C4" s="835" t="s">
        <v>219</v>
      </c>
      <c r="D4" s="579"/>
      <c r="E4" s="579"/>
      <c r="F4" s="579"/>
      <c r="G4" s="579"/>
      <c r="H4" s="579"/>
      <c r="I4" s="579"/>
      <c r="J4" s="579"/>
      <c r="K4" s="579"/>
      <c r="L4" s="579"/>
      <c r="M4" s="579"/>
      <c r="N4" s="579"/>
      <c r="O4" s="579"/>
      <c r="P4" s="579"/>
      <c r="Q4" s="579"/>
      <c r="R4" s="580"/>
    </row>
    <row r="5" spans="2:18" ht="18" x14ac:dyDescent="0.35">
      <c r="B5" s="581"/>
      <c r="C5" s="582" t="str">
        <f>geg!F11</f>
        <v>Voorbeeldschool</v>
      </c>
      <c r="D5" s="575"/>
      <c r="E5" s="575"/>
      <c r="F5" s="575"/>
      <c r="G5" s="575"/>
      <c r="H5" s="575"/>
      <c r="I5" s="575"/>
      <c r="J5" s="575"/>
      <c r="K5" s="575"/>
      <c r="L5" s="575"/>
      <c r="M5" s="575"/>
      <c r="N5" s="575"/>
      <c r="O5" s="575"/>
      <c r="P5" s="575"/>
      <c r="Q5" s="575"/>
      <c r="R5" s="577"/>
    </row>
    <row r="6" spans="2:18" x14ac:dyDescent="0.3">
      <c r="B6" s="576"/>
      <c r="C6" s="575"/>
      <c r="D6" s="575"/>
      <c r="E6" s="575"/>
      <c r="F6" s="575"/>
      <c r="G6" s="575"/>
      <c r="H6" s="575"/>
      <c r="I6" s="575"/>
      <c r="J6" s="575"/>
      <c r="K6" s="575"/>
      <c r="L6" s="575"/>
      <c r="M6" s="575"/>
      <c r="N6" s="575"/>
      <c r="O6" s="575"/>
      <c r="P6" s="575"/>
      <c r="Q6" s="575"/>
      <c r="R6" s="577"/>
    </row>
    <row r="7" spans="2:18" x14ac:dyDescent="0.3">
      <c r="B7" s="576"/>
      <c r="C7" s="575"/>
      <c r="D7" s="575"/>
      <c r="E7" s="575"/>
      <c r="F7" s="575"/>
      <c r="G7" s="575"/>
      <c r="H7" s="575"/>
      <c r="I7" s="575"/>
      <c r="J7" s="575"/>
      <c r="K7" s="575"/>
      <c r="L7" s="575"/>
      <c r="M7" s="575"/>
      <c r="N7" s="575"/>
      <c r="O7" s="575"/>
      <c r="P7" s="575"/>
      <c r="Q7" s="575"/>
      <c r="R7" s="577"/>
    </row>
    <row r="8" spans="2:18" x14ac:dyDescent="0.3">
      <c r="B8" s="576"/>
      <c r="C8" s="575"/>
      <c r="D8" s="575"/>
      <c r="E8" s="575"/>
      <c r="F8" s="575"/>
      <c r="G8" s="575"/>
      <c r="H8" s="575"/>
      <c r="I8" s="575"/>
      <c r="J8" s="575"/>
      <c r="K8" s="575"/>
      <c r="L8" s="575"/>
      <c r="M8" s="575"/>
      <c r="N8" s="575"/>
      <c r="O8" s="575"/>
      <c r="P8" s="575"/>
      <c r="Q8" s="575"/>
      <c r="R8" s="577"/>
    </row>
    <row r="9" spans="2:18" x14ac:dyDescent="0.3">
      <c r="B9" s="576"/>
      <c r="C9" s="575"/>
      <c r="D9" s="575"/>
      <c r="E9" s="575"/>
      <c r="F9" s="575"/>
      <c r="G9" s="575"/>
      <c r="H9" s="575"/>
      <c r="I9" s="575"/>
      <c r="J9" s="575"/>
      <c r="K9" s="575"/>
      <c r="L9" s="575"/>
      <c r="M9" s="575"/>
      <c r="N9" s="575"/>
      <c r="O9" s="575"/>
      <c r="P9" s="575"/>
      <c r="Q9" s="575"/>
      <c r="R9" s="577"/>
    </row>
    <row r="10" spans="2:18" x14ac:dyDescent="0.3">
      <c r="B10" s="576"/>
      <c r="C10" s="575"/>
      <c r="D10" s="575"/>
      <c r="E10" s="575"/>
      <c r="F10" s="575"/>
      <c r="G10" s="575"/>
      <c r="H10" s="575"/>
      <c r="I10" s="575"/>
      <c r="J10" s="575"/>
      <c r="K10" s="575"/>
      <c r="L10" s="575"/>
      <c r="M10" s="575"/>
      <c r="N10" s="575"/>
      <c r="O10" s="575"/>
      <c r="P10" s="575"/>
      <c r="Q10" s="575"/>
      <c r="R10" s="577"/>
    </row>
    <row r="11" spans="2:18" x14ac:dyDescent="0.3">
      <c r="B11" s="576"/>
      <c r="C11" s="575"/>
      <c r="D11" s="575"/>
      <c r="E11" s="575"/>
      <c r="F11" s="575"/>
      <c r="G11" s="575"/>
      <c r="H11" s="575"/>
      <c r="I11" s="575"/>
      <c r="J11" s="575"/>
      <c r="K11" s="575"/>
      <c r="L11" s="575"/>
      <c r="M11" s="575"/>
      <c r="N11" s="575"/>
      <c r="O11" s="575"/>
      <c r="P11" s="575"/>
      <c r="Q11" s="575"/>
      <c r="R11" s="577"/>
    </row>
    <row r="12" spans="2:18" x14ac:dyDescent="0.3">
      <c r="B12" s="576"/>
      <c r="C12" s="575"/>
      <c r="D12" s="575"/>
      <c r="E12" s="575"/>
      <c r="F12" s="575"/>
      <c r="G12" s="575"/>
      <c r="H12" s="575"/>
      <c r="I12" s="575"/>
      <c r="J12" s="575"/>
      <c r="K12" s="575"/>
      <c r="L12" s="575"/>
      <c r="M12" s="575"/>
      <c r="N12" s="575"/>
      <c r="O12" s="575"/>
      <c r="P12" s="575"/>
      <c r="Q12" s="575"/>
      <c r="R12" s="577"/>
    </row>
    <row r="13" spans="2:18" x14ac:dyDescent="0.3">
      <c r="B13" s="576"/>
      <c r="C13" s="575"/>
      <c r="D13" s="575"/>
      <c r="E13" s="575"/>
      <c r="F13" s="575"/>
      <c r="G13" s="575"/>
      <c r="H13" s="575"/>
      <c r="I13" s="575"/>
      <c r="J13" s="575"/>
      <c r="K13" s="575"/>
      <c r="L13" s="575"/>
      <c r="M13" s="575"/>
      <c r="N13" s="575"/>
      <c r="O13" s="575"/>
      <c r="P13" s="575"/>
      <c r="Q13" s="575"/>
      <c r="R13" s="577"/>
    </row>
    <row r="14" spans="2:18" x14ac:dyDescent="0.3">
      <c r="B14" s="576"/>
      <c r="C14" s="575"/>
      <c r="D14" s="575"/>
      <c r="E14" s="575"/>
      <c r="F14" s="575"/>
      <c r="G14" s="575"/>
      <c r="H14" s="575"/>
      <c r="I14" s="575"/>
      <c r="J14" s="575"/>
      <c r="K14" s="575"/>
      <c r="L14" s="575"/>
      <c r="M14" s="575"/>
      <c r="N14" s="575"/>
      <c r="O14" s="575"/>
      <c r="P14" s="575"/>
      <c r="Q14" s="575"/>
      <c r="R14" s="577"/>
    </row>
    <row r="15" spans="2:18" x14ac:dyDescent="0.3">
      <c r="B15" s="576"/>
      <c r="C15" s="575"/>
      <c r="D15" s="575"/>
      <c r="E15" s="575"/>
      <c r="F15" s="575"/>
      <c r="G15" s="575"/>
      <c r="H15" s="575"/>
      <c r="I15" s="575"/>
      <c r="J15" s="575"/>
      <c r="K15" s="575"/>
      <c r="L15" s="575"/>
      <c r="M15" s="575"/>
      <c r="N15" s="575"/>
      <c r="O15" s="575"/>
      <c r="P15" s="575"/>
      <c r="Q15" s="575"/>
      <c r="R15" s="577"/>
    </row>
    <row r="16" spans="2:18" x14ac:dyDescent="0.3">
      <c r="B16" s="576"/>
      <c r="C16" s="575"/>
      <c r="D16" s="575"/>
      <c r="E16" s="575"/>
      <c r="F16" s="575"/>
      <c r="G16" s="575"/>
      <c r="H16" s="575"/>
      <c r="I16" s="575"/>
      <c r="J16" s="575"/>
      <c r="K16" s="575"/>
      <c r="L16" s="575"/>
      <c r="M16" s="575"/>
      <c r="N16" s="575"/>
      <c r="O16" s="575"/>
      <c r="P16" s="575"/>
      <c r="Q16" s="575"/>
      <c r="R16" s="577"/>
    </row>
    <row r="17" spans="2:18" x14ac:dyDescent="0.3">
      <c r="B17" s="576"/>
      <c r="C17" s="575"/>
      <c r="D17" s="575"/>
      <c r="E17" s="575"/>
      <c r="F17" s="575"/>
      <c r="G17" s="575"/>
      <c r="H17" s="575"/>
      <c r="I17" s="575"/>
      <c r="J17" s="575"/>
      <c r="K17" s="575"/>
      <c r="L17" s="575"/>
      <c r="M17" s="575"/>
      <c r="N17" s="575"/>
      <c r="O17" s="575"/>
      <c r="P17" s="575"/>
      <c r="Q17" s="575"/>
      <c r="R17" s="577"/>
    </row>
    <row r="18" spans="2:18" x14ac:dyDescent="0.3">
      <c r="B18" s="576"/>
      <c r="C18" s="575"/>
      <c r="D18" s="575"/>
      <c r="E18" s="575"/>
      <c r="F18" s="575"/>
      <c r="G18" s="575"/>
      <c r="H18" s="575"/>
      <c r="I18" s="575"/>
      <c r="J18" s="575"/>
      <c r="K18" s="575"/>
      <c r="L18" s="575"/>
      <c r="M18" s="575"/>
      <c r="N18" s="575"/>
      <c r="O18" s="575"/>
      <c r="P18" s="575"/>
      <c r="Q18" s="575"/>
      <c r="R18" s="577"/>
    </row>
    <row r="19" spans="2:18" x14ac:dyDescent="0.3">
      <c r="B19" s="576"/>
      <c r="C19" s="575"/>
      <c r="D19" s="575"/>
      <c r="E19" s="575"/>
      <c r="F19" s="575"/>
      <c r="G19" s="575"/>
      <c r="H19" s="575"/>
      <c r="I19" s="575"/>
      <c r="J19" s="575"/>
      <c r="K19" s="575"/>
      <c r="L19" s="575"/>
      <c r="M19" s="575"/>
      <c r="N19" s="575"/>
      <c r="O19" s="575"/>
      <c r="P19" s="575"/>
      <c r="Q19" s="575"/>
      <c r="R19" s="577"/>
    </row>
    <row r="20" spans="2:18" x14ac:dyDescent="0.3">
      <c r="B20" s="576"/>
      <c r="C20" s="575"/>
      <c r="D20" s="575"/>
      <c r="E20" s="575"/>
      <c r="F20" s="575"/>
      <c r="G20" s="575"/>
      <c r="H20" s="575"/>
      <c r="I20" s="575"/>
      <c r="J20" s="575"/>
      <c r="K20" s="575"/>
      <c r="L20" s="575"/>
      <c r="M20" s="575"/>
      <c r="N20" s="575"/>
      <c r="O20" s="575"/>
      <c r="P20" s="575"/>
      <c r="Q20" s="575"/>
      <c r="R20" s="577"/>
    </row>
    <row r="21" spans="2:18" x14ac:dyDescent="0.3">
      <c r="B21" s="576"/>
      <c r="C21" s="575"/>
      <c r="D21" s="575"/>
      <c r="E21" s="575"/>
      <c r="F21" s="575"/>
      <c r="G21" s="575"/>
      <c r="H21" s="575"/>
      <c r="I21" s="575"/>
      <c r="J21" s="575"/>
      <c r="K21" s="575"/>
      <c r="L21" s="575"/>
      <c r="M21" s="575"/>
      <c r="N21" s="575"/>
      <c r="O21" s="575"/>
      <c r="P21" s="575"/>
      <c r="Q21" s="575"/>
      <c r="R21" s="577"/>
    </row>
    <row r="22" spans="2:18" x14ac:dyDescent="0.3">
      <c r="B22" s="576"/>
      <c r="C22" s="575"/>
      <c r="D22" s="575"/>
      <c r="E22" s="575"/>
      <c r="F22" s="575"/>
      <c r="G22" s="575"/>
      <c r="H22" s="575"/>
      <c r="I22" s="575"/>
      <c r="J22" s="575"/>
      <c r="K22" s="575"/>
      <c r="L22" s="575"/>
      <c r="M22" s="575"/>
      <c r="N22" s="575"/>
      <c r="O22" s="575"/>
      <c r="P22" s="575"/>
      <c r="Q22" s="575"/>
      <c r="R22" s="577"/>
    </row>
    <row r="23" spans="2:18" x14ac:dyDescent="0.3">
      <c r="B23" s="576"/>
      <c r="C23" s="575"/>
      <c r="D23" s="575"/>
      <c r="E23" s="575"/>
      <c r="F23" s="575"/>
      <c r="G23" s="575"/>
      <c r="H23" s="575"/>
      <c r="I23" s="575"/>
      <c r="J23" s="575"/>
      <c r="K23" s="575"/>
      <c r="L23" s="575"/>
      <c r="M23" s="575"/>
      <c r="N23" s="575"/>
      <c r="O23" s="575"/>
      <c r="P23" s="575"/>
      <c r="Q23" s="575"/>
      <c r="R23" s="577"/>
    </row>
    <row r="24" spans="2:18" x14ac:dyDescent="0.3">
      <c r="B24" s="576"/>
      <c r="C24" s="575"/>
      <c r="D24" s="575"/>
      <c r="E24" s="575"/>
      <c r="F24" s="575"/>
      <c r="G24" s="575"/>
      <c r="H24" s="575"/>
      <c r="I24" s="575"/>
      <c r="J24" s="575"/>
      <c r="K24" s="575"/>
      <c r="L24" s="575"/>
      <c r="M24" s="575"/>
      <c r="N24" s="575"/>
      <c r="O24" s="575"/>
      <c r="P24" s="575"/>
      <c r="Q24" s="575"/>
      <c r="R24" s="577"/>
    </row>
    <row r="25" spans="2:18" x14ac:dyDescent="0.3">
      <c r="B25" s="576"/>
      <c r="C25" s="575"/>
      <c r="D25" s="575"/>
      <c r="E25" s="575"/>
      <c r="F25" s="575"/>
      <c r="G25" s="575"/>
      <c r="H25" s="575"/>
      <c r="I25" s="575"/>
      <c r="J25" s="575"/>
      <c r="K25" s="575"/>
      <c r="L25" s="575"/>
      <c r="M25" s="575"/>
      <c r="N25" s="575"/>
      <c r="O25" s="575"/>
      <c r="P25" s="575"/>
      <c r="Q25" s="575"/>
      <c r="R25" s="577"/>
    </row>
    <row r="26" spans="2:18" x14ac:dyDescent="0.3">
      <c r="B26" s="576"/>
      <c r="C26" s="575"/>
      <c r="D26" s="575"/>
      <c r="E26" s="575"/>
      <c r="F26" s="575"/>
      <c r="G26" s="575"/>
      <c r="H26" s="575"/>
      <c r="I26" s="575"/>
      <c r="J26" s="575"/>
      <c r="K26" s="575"/>
      <c r="L26" s="575"/>
      <c r="M26" s="575"/>
      <c r="N26" s="575"/>
      <c r="O26" s="575"/>
      <c r="P26" s="575"/>
      <c r="Q26" s="575"/>
      <c r="R26" s="577"/>
    </row>
    <row r="27" spans="2:18" x14ac:dyDescent="0.3">
      <c r="B27" s="576"/>
      <c r="C27" s="575"/>
      <c r="D27" s="575"/>
      <c r="E27" s="575"/>
      <c r="F27" s="575"/>
      <c r="G27" s="575"/>
      <c r="H27" s="575"/>
      <c r="I27" s="575"/>
      <c r="J27" s="575"/>
      <c r="K27" s="575"/>
      <c r="L27" s="575"/>
      <c r="M27" s="575"/>
      <c r="N27" s="575"/>
      <c r="O27" s="575"/>
      <c r="P27" s="575"/>
      <c r="Q27" s="575"/>
      <c r="R27" s="577"/>
    </row>
    <row r="28" spans="2:18" x14ac:dyDescent="0.3">
      <c r="B28" s="576"/>
      <c r="C28" s="575"/>
      <c r="D28" s="575"/>
      <c r="E28" s="575"/>
      <c r="F28" s="575"/>
      <c r="G28" s="575"/>
      <c r="H28" s="575"/>
      <c r="I28" s="575"/>
      <c r="J28" s="575"/>
      <c r="K28" s="575"/>
      <c r="L28" s="575"/>
      <c r="M28" s="575"/>
      <c r="N28" s="575"/>
      <c r="O28" s="575"/>
      <c r="P28" s="575"/>
      <c r="Q28" s="575"/>
      <c r="R28" s="577"/>
    </row>
    <row r="29" spans="2:18" x14ac:dyDescent="0.3">
      <c r="B29" s="576"/>
      <c r="C29" s="575"/>
      <c r="D29" s="575"/>
      <c r="E29" s="575"/>
      <c r="F29" s="575"/>
      <c r="G29" s="575"/>
      <c r="H29" s="575"/>
      <c r="I29" s="575"/>
      <c r="J29" s="575"/>
      <c r="K29" s="575"/>
      <c r="L29" s="575"/>
      <c r="M29" s="575"/>
      <c r="N29" s="575"/>
      <c r="O29" s="575"/>
      <c r="P29" s="575"/>
      <c r="Q29" s="575"/>
      <c r="R29" s="577"/>
    </row>
    <row r="30" spans="2:18" x14ac:dyDescent="0.3">
      <c r="B30" s="576"/>
      <c r="C30" s="575"/>
      <c r="D30" s="575"/>
      <c r="E30" s="575"/>
      <c r="F30" s="575"/>
      <c r="G30" s="575"/>
      <c r="H30" s="575"/>
      <c r="I30" s="575"/>
      <c r="J30" s="575"/>
      <c r="K30" s="575"/>
      <c r="L30" s="575"/>
      <c r="M30" s="575"/>
      <c r="N30" s="575"/>
      <c r="O30" s="575"/>
      <c r="P30" s="575"/>
      <c r="Q30" s="575"/>
      <c r="R30" s="577"/>
    </row>
    <row r="31" spans="2:18" x14ac:dyDescent="0.3">
      <c r="B31" s="576"/>
      <c r="C31" s="575"/>
      <c r="D31" s="575"/>
      <c r="E31" s="575"/>
      <c r="F31" s="575"/>
      <c r="G31" s="575"/>
      <c r="H31" s="575"/>
      <c r="I31" s="575"/>
      <c r="J31" s="575"/>
      <c r="K31" s="575"/>
      <c r="L31" s="575"/>
      <c r="M31" s="575"/>
      <c r="N31" s="575"/>
      <c r="O31" s="575"/>
      <c r="P31" s="575"/>
      <c r="Q31" s="575"/>
      <c r="R31" s="577"/>
    </row>
    <row r="32" spans="2:18" x14ac:dyDescent="0.3">
      <c r="B32" s="576"/>
      <c r="C32" s="575"/>
      <c r="D32" s="575"/>
      <c r="E32" s="575"/>
      <c r="F32" s="575"/>
      <c r="G32" s="575"/>
      <c r="H32" s="575"/>
      <c r="I32" s="575"/>
      <c r="J32" s="575"/>
      <c r="K32" s="575"/>
      <c r="L32" s="575"/>
      <c r="M32" s="575"/>
      <c r="N32" s="575"/>
      <c r="O32" s="575"/>
      <c r="P32" s="575"/>
      <c r="Q32" s="575"/>
      <c r="R32" s="577"/>
    </row>
    <row r="33" spans="2:18" x14ac:dyDescent="0.3">
      <c r="B33" s="576"/>
      <c r="C33" s="575"/>
      <c r="D33" s="575"/>
      <c r="E33" s="575"/>
      <c r="F33" s="575"/>
      <c r="G33" s="575"/>
      <c r="H33" s="575"/>
      <c r="I33" s="575"/>
      <c r="J33" s="575"/>
      <c r="K33" s="575"/>
      <c r="L33" s="575"/>
      <c r="M33" s="575"/>
      <c r="N33" s="575"/>
      <c r="O33" s="575"/>
      <c r="P33" s="575"/>
      <c r="Q33" s="575"/>
      <c r="R33" s="577"/>
    </row>
    <row r="34" spans="2:18" x14ac:dyDescent="0.3">
      <c r="B34" s="576"/>
      <c r="C34" s="575"/>
      <c r="D34" s="575"/>
      <c r="E34" s="575"/>
      <c r="F34" s="575"/>
      <c r="G34" s="575"/>
      <c r="H34" s="575"/>
      <c r="I34" s="575"/>
      <c r="J34" s="575"/>
      <c r="K34" s="575"/>
      <c r="L34" s="575"/>
      <c r="M34" s="575"/>
      <c r="N34" s="575"/>
      <c r="O34" s="575"/>
      <c r="P34" s="575"/>
      <c r="Q34" s="575"/>
      <c r="R34" s="577"/>
    </row>
    <row r="35" spans="2:18" x14ac:dyDescent="0.3">
      <c r="B35" s="576"/>
      <c r="C35" s="575"/>
      <c r="D35" s="575"/>
      <c r="E35" s="575"/>
      <c r="F35" s="575"/>
      <c r="G35" s="575"/>
      <c r="H35" s="575"/>
      <c r="I35" s="575"/>
      <c r="J35" s="575"/>
      <c r="K35" s="575"/>
      <c r="L35" s="575"/>
      <c r="M35" s="575"/>
      <c r="N35" s="575"/>
      <c r="O35" s="575"/>
      <c r="P35" s="575"/>
      <c r="Q35" s="575"/>
      <c r="R35" s="577"/>
    </row>
    <row r="36" spans="2:18" x14ac:dyDescent="0.3">
      <c r="B36" s="576"/>
      <c r="C36" s="575"/>
      <c r="D36" s="575"/>
      <c r="E36" s="575"/>
      <c r="F36" s="575"/>
      <c r="G36" s="575"/>
      <c r="H36" s="575"/>
      <c r="I36" s="575"/>
      <c r="J36" s="575"/>
      <c r="K36" s="575"/>
      <c r="L36" s="575"/>
      <c r="M36" s="575"/>
      <c r="N36" s="575"/>
      <c r="O36" s="575"/>
      <c r="P36" s="575"/>
      <c r="Q36" s="575"/>
      <c r="R36" s="577"/>
    </row>
    <row r="37" spans="2:18" x14ac:dyDescent="0.3">
      <c r="B37" s="576"/>
      <c r="C37" s="575"/>
      <c r="D37" s="575"/>
      <c r="E37" s="575"/>
      <c r="F37" s="575"/>
      <c r="G37" s="575"/>
      <c r="H37" s="575"/>
      <c r="I37" s="575"/>
      <c r="J37" s="575"/>
      <c r="K37" s="575"/>
      <c r="L37" s="575"/>
      <c r="M37" s="575"/>
      <c r="N37" s="575"/>
      <c r="O37" s="575"/>
      <c r="P37" s="575"/>
      <c r="Q37" s="575"/>
      <c r="R37" s="577"/>
    </row>
    <row r="38" spans="2:18" x14ac:dyDescent="0.3">
      <c r="B38" s="576"/>
      <c r="C38" s="575"/>
      <c r="D38" s="575"/>
      <c r="E38" s="575"/>
      <c r="F38" s="575"/>
      <c r="G38" s="575"/>
      <c r="H38" s="575"/>
      <c r="I38" s="575"/>
      <c r="J38" s="575"/>
      <c r="K38" s="575"/>
      <c r="L38" s="575"/>
      <c r="M38" s="575"/>
      <c r="N38" s="575"/>
      <c r="O38" s="575"/>
      <c r="P38" s="575"/>
      <c r="Q38" s="575"/>
      <c r="R38" s="577"/>
    </row>
    <row r="39" spans="2:18" x14ac:dyDescent="0.3">
      <c r="B39" s="576"/>
      <c r="C39" s="575"/>
      <c r="D39" s="575"/>
      <c r="E39" s="575"/>
      <c r="F39" s="575"/>
      <c r="G39" s="575"/>
      <c r="H39" s="575"/>
      <c r="I39" s="575"/>
      <c r="J39" s="575"/>
      <c r="K39" s="575"/>
      <c r="L39" s="575"/>
      <c r="M39" s="575"/>
      <c r="N39" s="575"/>
      <c r="O39" s="575"/>
      <c r="P39" s="575"/>
      <c r="Q39" s="575"/>
      <c r="R39" s="577"/>
    </row>
    <row r="40" spans="2:18" x14ac:dyDescent="0.3">
      <c r="B40" s="576"/>
      <c r="C40" s="575"/>
      <c r="D40" s="575"/>
      <c r="E40" s="575"/>
      <c r="F40" s="575"/>
      <c r="G40" s="575"/>
      <c r="H40" s="575"/>
      <c r="I40" s="575"/>
      <c r="J40" s="575"/>
      <c r="K40" s="575"/>
      <c r="L40" s="575"/>
      <c r="M40" s="575"/>
      <c r="N40" s="575"/>
      <c r="O40" s="575"/>
      <c r="P40" s="575"/>
      <c r="Q40" s="575"/>
      <c r="R40" s="577"/>
    </row>
    <row r="41" spans="2:18" x14ac:dyDescent="0.3">
      <c r="B41" s="576"/>
      <c r="C41" s="575"/>
      <c r="D41" s="575"/>
      <c r="E41" s="575"/>
      <c r="F41" s="575"/>
      <c r="G41" s="575"/>
      <c r="H41" s="575"/>
      <c r="I41" s="575"/>
      <c r="J41" s="575"/>
      <c r="K41" s="575"/>
      <c r="L41" s="575"/>
      <c r="M41" s="575"/>
      <c r="N41" s="575"/>
      <c r="O41" s="575"/>
      <c r="P41" s="575"/>
      <c r="Q41" s="575"/>
      <c r="R41" s="577"/>
    </row>
    <row r="42" spans="2:18" x14ac:dyDescent="0.3">
      <c r="B42" s="576"/>
      <c r="C42" s="575"/>
      <c r="D42" s="575"/>
      <c r="E42" s="575"/>
      <c r="F42" s="575"/>
      <c r="G42" s="575"/>
      <c r="H42" s="575"/>
      <c r="I42" s="575"/>
      <c r="J42" s="575"/>
      <c r="K42" s="575"/>
      <c r="L42" s="575"/>
      <c r="M42" s="575"/>
      <c r="N42" s="575"/>
      <c r="O42" s="575"/>
      <c r="P42" s="575"/>
      <c r="Q42" s="575"/>
      <c r="R42" s="577"/>
    </row>
    <row r="43" spans="2:18" x14ac:dyDescent="0.3">
      <c r="B43" s="576"/>
      <c r="C43" s="575"/>
      <c r="D43" s="575"/>
      <c r="E43" s="575"/>
      <c r="F43" s="575"/>
      <c r="G43" s="575"/>
      <c r="H43" s="575"/>
      <c r="I43" s="575"/>
      <c r="J43" s="575"/>
      <c r="K43" s="575"/>
      <c r="L43" s="575"/>
      <c r="M43" s="575"/>
      <c r="N43" s="575"/>
      <c r="O43" s="575"/>
      <c r="P43" s="575"/>
      <c r="Q43" s="575"/>
      <c r="R43" s="577"/>
    </row>
    <row r="44" spans="2:18" x14ac:dyDescent="0.3">
      <c r="B44" s="576"/>
      <c r="C44" s="575"/>
      <c r="D44" s="575"/>
      <c r="E44" s="575"/>
      <c r="F44" s="575"/>
      <c r="G44" s="575"/>
      <c r="H44" s="575"/>
      <c r="I44" s="575"/>
      <c r="J44" s="575"/>
      <c r="K44" s="575"/>
      <c r="L44" s="575"/>
      <c r="M44" s="575"/>
      <c r="N44" s="575"/>
      <c r="O44" s="575"/>
      <c r="P44" s="575"/>
      <c r="Q44" s="575"/>
      <c r="R44" s="577"/>
    </row>
    <row r="45" spans="2:18" x14ac:dyDescent="0.3">
      <c r="B45" s="576"/>
      <c r="C45" s="575"/>
      <c r="D45" s="575"/>
      <c r="E45" s="575"/>
      <c r="F45" s="575"/>
      <c r="G45" s="575"/>
      <c r="H45" s="575"/>
      <c r="I45" s="575"/>
      <c r="J45" s="575"/>
      <c r="K45" s="575"/>
      <c r="L45" s="575"/>
      <c r="M45" s="575"/>
      <c r="N45" s="575"/>
      <c r="O45" s="575"/>
      <c r="P45" s="575"/>
      <c r="Q45" s="575"/>
      <c r="R45" s="577"/>
    </row>
    <row r="46" spans="2:18" x14ac:dyDescent="0.3">
      <c r="B46" s="576"/>
      <c r="C46" s="575"/>
      <c r="D46" s="575"/>
      <c r="E46" s="575"/>
      <c r="F46" s="575"/>
      <c r="G46" s="575"/>
      <c r="H46" s="575"/>
      <c r="I46" s="575"/>
      <c r="J46" s="575"/>
      <c r="K46" s="575"/>
      <c r="L46" s="575"/>
      <c r="M46" s="575"/>
      <c r="N46" s="575"/>
      <c r="O46" s="575"/>
      <c r="P46" s="575"/>
      <c r="Q46" s="575"/>
      <c r="R46" s="577"/>
    </row>
    <row r="47" spans="2:18" x14ac:dyDescent="0.3">
      <c r="B47" s="576"/>
      <c r="C47" s="575"/>
      <c r="D47" s="575"/>
      <c r="E47" s="575"/>
      <c r="F47" s="575"/>
      <c r="G47" s="575"/>
      <c r="H47" s="575"/>
      <c r="I47" s="575"/>
      <c r="J47" s="575"/>
      <c r="K47" s="575"/>
      <c r="L47" s="575"/>
      <c r="M47" s="575"/>
      <c r="N47" s="575"/>
      <c r="O47" s="575"/>
      <c r="P47" s="575"/>
      <c r="Q47" s="575"/>
      <c r="R47" s="577"/>
    </row>
    <row r="48" spans="2:18" x14ac:dyDescent="0.3">
      <c r="B48" s="576"/>
      <c r="C48" s="575"/>
      <c r="D48" s="575"/>
      <c r="E48" s="575"/>
      <c r="F48" s="575"/>
      <c r="G48" s="575"/>
      <c r="H48" s="575"/>
      <c r="I48" s="575"/>
      <c r="J48" s="575"/>
      <c r="K48" s="575"/>
      <c r="L48" s="575"/>
      <c r="M48" s="575"/>
      <c r="N48" s="575"/>
      <c r="O48" s="575"/>
      <c r="P48" s="575"/>
      <c r="Q48" s="575"/>
      <c r="R48" s="577"/>
    </row>
    <row r="49" spans="2:18" x14ac:dyDescent="0.3">
      <c r="B49" s="576"/>
      <c r="C49" s="575"/>
      <c r="D49" s="575"/>
      <c r="E49" s="575"/>
      <c r="F49" s="575"/>
      <c r="G49" s="575"/>
      <c r="H49" s="575"/>
      <c r="I49" s="575"/>
      <c r="J49" s="575"/>
      <c r="K49" s="575"/>
      <c r="L49" s="575"/>
      <c r="M49" s="575"/>
      <c r="N49" s="575"/>
      <c r="O49" s="575"/>
      <c r="P49" s="575"/>
      <c r="Q49" s="575"/>
      <c r="R49" s="577"/>
    </row>
    <row r="50" spans="2:18" x14ac:dyDescent="0.3">
      <c r="B50" s="576"/>
      <c r="C50" s="575"/>
      <c r="D50" s="575"/>
      <c r="E50" s="575"/>
      <c r="F50" s="575"/>
      <c r="G50" s="575"/>
      <c r="H50" s="575"/>
      <c r="I50" s="575"/>
      <c r="J50" s="575"/>
      <c r="K50" s="575"/>
      <c r="L50" s="575"/>
      <c r="M50" s="575"/>
      <c r="N50" s="575"/>
      <c r="O50" s="575"/>
      <c r="P50" s="575"/>
      <c r="Q50" s="575"/>
      <c r="R50" s="577"/>
    </row>
    <row r="51" spans="2:18" x14ac:dyDescent="0.3">
      <c r="B51" s="576"/>
      <c r="C51" s="575"/>
      <c r="D51" s="575"/>
      <c r="E51" s="575"/>
      <c r="F51" s="575"/>
      <c r="G51" s="575"/>
      <c r="H51" s="575"/>
      <c r="I51" s="575"/>
      <c r="J51" s="575"/>
      <c r="K51" s="575"/>
      <c r="L51" s="575"/>
      <c r="M51" s="575"/>
      <c r="N51" s="575"/>
      <c r="O51" s="575"/>
      <c r="P51" s="575"/>
      <c r="Q51" s="575"/>
      <c r="R51" s="577"/>
    </row>
    <row r="52" spans="2:18" x14ac:dyDescent="0.3">
      <c r="B52" s="576"/>
      <c r="C52" s="575"/>
      <c r="D52" s="575"/>
      <c r="E52" s="575"/>
      <c r="F52" s="575"/>
      <c r="G52" s="575"/>
      <c r="H52" s="575"/>
      <c r="I52" s="575"/>
      <c r="J52" s="575"/>
      <c r="K52" s="575"/>
      <c r="L52" s="575"/>
      <c r="M52" s="575"/>
      <c r="N52" s="575"/>
      <c r="O52" s="575"/>
      <c r="P52" s="575"/>
      <c r="Q52" s="575"/>
      <c r="R52" s="577"/>
    </row>
    <row r="53" spans="2:18" x14ac:dyDescent="0.3">
      <c r="B53" s="576"/>
      <c r="C53" s="575"/>
      <c r="D53" s="575"/>
      <c r="E53" s="575"/>
      <c r="F53" s="575"/>
      <c r="G53" s="575"/>
      <c r="H53" s="575"/>
      <c r="I53" s="575"/>
      <c r="J53" s="575"/>
      <c r="K53" s="575"/>
      <c r="L53" s="575"/>
      <c r="M53" s="575"/>
      <c r="N53" s="575"/>
      <c r="O53" s="575"/>
      <c r="P53" s="575"/>
      <c r="Q53" s="575"/>
      <c r="R53" s="577"/>
    </row>
    <row r="54" spans="2:18" x14ac:dyDescent="0.3">
      <c r="B54" s="576"/>
      <c r="C54" s="575"/>
      <c r="D54" s="575"/>
      <c r="E54" s="575"/>
      <c r="F54" s="575"/>
      <c r="G54" s="575"/>
      <c r="H54" s="575"/>
      <c r="I54" s="575"/>
      <c r="J54" s="575"/>
      <c r="K54" s="575"/>
      <c r="L54" s="575"/>
      <c r="M54" s="575"/>
      <c r="N54" s="575"/>
      <c r="O54" s="575"/>
      <c r="P54" s="575"/>
      <c r="Q54" s="575"/>
      <c r="R54" s="577"/>
    </row>
    <row r="55" spans="2:18" x14ac:dyDescent="0.3">
      <c r="B55" s="576"/>
      <c r="C55" s="575"/>
      <c r="D55" s="575"/>
      <c r="E55" s="575"/>
      <c r="F55" s="575"/>
      <c r="G55" s="575"/>
      <c r="H55" s="575"/>
      <c r="I55" s="575"/>
      <c r="J55" s="575"/>
      <c r="K55" s="575"/>
      <c r="L55" s="575"/>
      <c r="M55" s="575"/>
      <c r="N55" s="575"/>
      <c r="O55" s="575"/>
      <c r="P55" s="575"/>
      <c r="Q55" s="575"/>
      <c r="R55" s="577"/>
    </row>
    <row r="56" spans="2:18" x14ac:dyDescent="0.3">
      <c r="B56" s="576"/>
      <c r="C56" s="575"/>
      <c r="D56" s="575"/>
      <c r="E56" s="575"/>
      <c r="F56" s="575"/>
      <c r="G56" s="575"/>
      <c r="H56" s="575"/>
      <c r="I56" s="575"/>
      <c r="J56" s="575"/>
      <c r="K56" s="575"/>
      <c r="L56" s="575"/>
      <c r="M56" s="575"/>
      <c r="N56" s="575"/>
      <c r="O56" s="575"/>
      <c r="P56" s="575"/>
      <c r="Q56" s="575"/>
      <c r="R56" s="577"/>
    </row>
    <row r="57" spans="2:18" x14ac:dyDescent="0.3">
      <c r="B57" s="576"/>
      <c r="C57" s="575"/>
      <c r="D57" s="575"/>
      <c r="E57" s="575"/>
      <c r="F57" s="575"/>
      <c r="G57" s="575"/>
      <c r="H57" s="575"/>
      <c r="I57" s="575"/>
      <c r="J57" s="575"/>
      <c r="K57" s="575"/>
      <c r="L57" s="575"/>
      <c r="M57" s="575"/>
      <c r="N57" s="575"/>
      <c r="O57" s="575"/>
      <c r="P57" s="575"/>
      <c r="Q57" s="575"/>
      <c r="R57" s="577"/>
    </row>
    <row r="58" spans="2:18" x14ac:dyDescent="0.3">
      <c r="B58" s="576"/>
      <c r="C58" s="575"/>
      <c r="D58" s="575"/>
      <c r="E58" s="575"/>
      <c r="F58" s="575"/>
      <c r="G58" s="575"/>
      <c r="H58" s="575"/>
      <c r="I58" s="575"/>
      <c r="J58" s="575"/>
      <c r="K58" s="575"/>
      <c r="L58" s="575"/>
      <c r="M58" s="575"/>
      <c r="N58" s="575"/>
      <c r="O58" s="575"/>
      <c r="P58" s="575"/>
      <c r="Q58" s="575"/>
      <c r="R58" s="577"/>
    </row>
    <row r="59" spans="2:18" x14ac:dyDescent="0.3">
      <c r="B59" s="576"/>
      <c r="C59" s="575"/>
      <c r="D59" s="575"/>
      <c r="E59" s="575"/>
      <c r="F59" s="575"/>
      <c r="G59" s="575"/>
      <c r="H59" s="575"/>
      <c r="I59" s="575"/>
      <c r="J59" s="575"/>
      <c r="K59" s="575"/>
      <c r="L59" s="575"/>
      <c r="M59" s="575"/>
      <c r="N59" s="575"/>
      <c r="O59" s="575"/>
      <c r="P59" s="575"/>
      <c r="Q59" s="575"/>
      <c r="R59" s="577"/>
    </row>
    <row r="60" spans="2:18" x14ac:dyDescent="0.3">
      <c r="B60" s="576"/>
      <c r="C60" s="575"/>
      <c r="D60" s="575"/>
      <c r="E60" s="575"/>
      <c r="F60" s="575"/>
      <c r="G60" s="575"/>
      <c r="H60" s="575"/>
      <c r="I60" s="575"/>
      <c r="J60" s="575"/>
      <c r="K60" s="575"/>
      <c r="L60" s="575"/>
      <c r="M60" s="575"/>
      <c r="N60" s="575"/>
      <c r="O60" s="575"/>
      <c r="P60" s="575"/>
      <c r="Q60" s="575"/>
      <c r="R60" s="577"/>
    </row>
    <row r="61" spans="2:18" x14ac:dyDescent="0.3">
      <c r="B61" s="576"/>
      <c r="C61" s="575"/>
      <c r="D61" s="575"/>
      <c r="E61" s="575"/>
      <c r="F61" s="575"/>
      <c r="G61" s="575"/>
      <c r="H61" s="575"/>
      <c r="I61" s="575"/>
      <c r="J61" s="575"/>
      <c r="K61" s="575"/>
      <c r="L61" s="575"/>
      <c r="M61" s="575"/>
      <c r="N61" s="575"/>
      <c r="O61" s="575"/>
      <c r="P61" s="575"/>
      <c r="Q61" s="575"/>
      <c r="R61" s="577"/>
    </row>
    <row r="62" spans="2:18" x14ac:dyDescent="0.3">
      <c r="B62" s="576"/>
      <c r="C62" s="575"/>
      <c r="D62" s="575"/>
      <c r="E62" s="575"/>
      <c r="F62" s="575"/>
      <c r="G62" s="575"/>
      <c r="H62" s="575"/>
      <c r="I62" s="575"/>
      <c r="J62" s="575"/>
      <c r="K62" s="575"/>
      <c r="L62" s="575"/>
      <c r="M62" s="575"/>
      <c r="N62" s="575"/>
      <c r="O62" s="575"/>
      <c r="P62" s="575"/>
      <c r="Q62" s="575"/>
      <c r="R62" s="577"/>
    </row>
    <row r="63" spans="2:18" x14ac:dyDescent="0.3">
      <c r="B63" s="576"/>
      <c r="C63" s="575"/>
      <c r="D63" s="575"/>
      <c r="E63" s="575"/>
      <c r="F63" s="575"/>
      <c r="G63" s="575"/>
      <c r="H63" s="575"/>
      <c r="I63" s="575"/>
      <c r="J63" s="575"/>
      <c r="K63" s="575"/>
      <c r="L63" s="575"/>
      <c r="M63" s="575"/>
      <c r="N63" s="575"/>
      <c r="O63" s="575"/>
      <c r="P63" s="575"/>
      <c r="Q63" s="575"/>
      <c r="R63" s="577"/>
    </row>
    <row r="64" spans="2:18" x14ac:dyDescent="0.3">
      <c r="B64" s="576"/>
      <c r="C64" s="575"/>
      <c r="D64" s="575"/>
      <c r="E64" s="575"/>
      <c r="F64" s="575"/>
      <c r="G64" s="575"/>
      <c r="H64" s="575"/>
      <c r="I64" s="575"/>
      <c r="J64" s="575"/>
      <c r="K64" s="575"/>
      <c r="L64" s="575"/>
      <c r="M64" s="575"/>
      <c r="N64" s="575"/>
      <c r="O64" s="575"/>
      <c r="P64" s="575"/>
      <c r="Q64" s="575"/>
      <c r="R64" s="577"/>
    </row>
    <row r="65" spans="2:18" x14ac:dyDescent="0.3">
      <c r="B65" s="576"/>
      <c r="C65" s="575"/>
      <c r="D65" s="575"/>
      <c r="E65" s="575"/>
      <c r="F65" s="575"/>
      <c r="G65" s="575"/>
      <c r="H65" s="575"/>
      <c r="I65" s="575"/>
      <c r="J65" s="575"/>
      <c r="K65" s="575"/>
      <c r="L65" s="575"/>
      <c r="M65" s="575"/>
      <c r="N65" s="575"/>
      <c r="O65" s="575"/>
      <c r="P65" s="575"/>
      <c r="Q65" s="575"/>
      <c r="R65" s="577"/>
    </row>
    <row r="66" spans="2:18" x14ac:dyDescent="0.3">
      <c r="B66" s="576"/>
      <c r="C66" s="575"/>
      <c r="D66" s="575"/>
      <c r="E66" s="575"/>
      <c r="F66" s="575"/>
      <c r="G66" s="575"/>
      <c r="H66" s="575"/>
      <c r="I66" s="575"/>
      <c r="J66" s="575"/>
      <c r="K66" s="575"/>
      <c r="L66" s="575"/>
      <c r="M66" s="575"/>
      <c r="N66" s="575"/>
      <c r="O66" s="575"/>
      <c r="P66" s="575"/>
      <c r="Q66" s="575"/>
      <c r="R66" s="577"/>
    </row>
    <row r="67" spans="2:18" x14ac:dyDescent="0.3">
      <c r="B67" s="576"/>
      <c r="C67" s="575"/>
      <c r="D67" s="575"/>
      <c r="E67" s="575"/>
      <c r="F67" s="575"/>
      <c r="G67" s="575"/>
      <c r="H67" s="575"/>
      <c r="I67" s="575"/>
      <c r="J67" s="575"/>
      <c r="K67" s="575"/>
      <c r="L67" s="575"/>
      <c r="M67" s="575"/>
      <c r="N67" s="575"/>
      <c r="O67" s="575"/>
      <c r="P67" s="575"/>
      <c r="Q67" s="575"/>
      <c r="R67" s="577"/>
    </row>
    <row r="68" spans="2:18" x14ac:dyDescent="0.3">
      <c r="B68" s="576"/>
      <c r="C68" s="575"/>
      <c r="D68" s="575"/>
      <c r="E68" s="575"/>
      <c r="F68" s="575"/>
      <c r="G68" s="575"/>
      <c r="H68" s="575"/>
      <c r="I68" s="575"/>
      <c r="J68" s="575"/>
      <c r="K68" s="575"/>
      <c r="L68" s="575"/>
      <c r="M68" s="575"/>
      <c r="N68" s="575"/>
      <c r="O68" s="575"/>
      <c r="P68" s="575"/>
      <c r="Q68" s="575"/>
      <c r="R68" s="577"/>
    </row>
    <row r="69" spans="2:18" x14ac:dyDescent="0.3">
      <c r="B69" s="576"/>
      <c r="C69" s="575"/>
      <c r="D69" s="575"/>
      <c r="E69" s="575"/>
      <c r="F69" s="575"/>
      <c r="G69" s="575"/>
      <c r="H69" s="575"/>
      <c r="I69" s="575"/>
      <c r="J69" s="575"/>
      <c r="K69" s="575"/>
      <c r="L69" s="575"/>
      <c r="M69" s="575"/>
      <c r="N69" s="575"/>
      <c r="O69" s="575"/>
      <c r="P69" s="575"/>
      <c r="Q69" s="575"/>
      <c r="R69" s="577"/>
    </row>
    <row r="70" spans="2:18" x14ac:dyDescent="0.3">
      <c r="B70" s="576"/>
      <c r="C70" s="575"/>
      <c r="D70" s="575"/>
      <c r="E70" s="575"/>
      <c r="F70" s="575"/>
      <c r="G70" s="575"/>
      <c r="H70" s="575"/>
      <c r="I70" s="575"/>
      <c r="J70" s="575"/>
      <c r="K70" s="575"/>
      <c r="L70" s="575"/>
      <c r="M70" s="575"/>
      <c r="N70" s="575"/>
      <c r="O70" s="575"/>
      <c r="P70" s="575"/>
      <c r="Q70" s="575"/>
      <c r="R70" s="577"/>
    </row>
    <row r="71" spans="2:18" x14ac:dyDescent="0.3">
      <c r="B71" s="576"/>
      <c r="C71" s="575"/>
      <c r="D71" s="575"/>
      <c r="E71" s="575"/>
      <c r="F71" s="575"/>
      <c r="G71" s="575"/>
      <c r="H71" s="575"/>
      <c r="I71" s="575"/>
      <c r="J71" s="575"/>
      <c r="K71" s="575"/>
      <c r="L71" s="575"/>
      <c r="M71" s="575"/>
      <c r="N71" s="575"/>
      <c r="O71" s="575"/>
      <c r="P71" s="575"/>
      <c r="Q71" s="575"/>
      <c r="R71" s="577"/>
    </row>
    <row r="72" spans="2:18" x14ac:dyDescent="0.3">
      <c r="B72" s="576"/>
      <c r="C72" s="575"/>
      <c r="D72" s="575"/>
      <c r="E72" s="575"/>
      <c r="F72" s="575"/>
      <c r="G72" s="575"/>
      <c r="H72" s="575"/>
      <c r="I72" s="575"/>
      <c r="J72" s="575"/>
      <c r="K72" s="575"/>
      <c r="L72" s="575"/>
      <c r="M72" s="575"/>
      <c r="N72" s="575"/>
      <c r="O72" s="575"/>
      <c r="P72" s="575"/>
      <c r="Q72" s="575"/>
      <c r="R72" s="577"/>
    </row>
    <row r="73" spans="2:18" x14ac:dyDescent="0.3">
      <c r="B73" s="576"/>
      <c r="C73" s="575"/>
      <c r="D73" s="575"/>
      <c r="E73" s="575"/>
      <c r="F73" s="575"/>
      <c r="G73" s="575"/>
      <c r="H73" s="575"/>
      <c r="I73" s="575"/>
      <c r="J73" s="575"/>
      <c r="K73" s="575"/>
      <c r="L73" s="575"/>
      <c r="M73" s="575"/>
      <c r="N73" s="575"/>
      <c r="O73" s="575"/>
      <c r="P73" s="575"/>
      <c r="Q73" s="575"/>
      <c r="R73" s="577"/>
    </row>
    <row r="74" spans="2:18" x14ac:dyDescent="0.3">
      <c r="B74" s="576"/>
      <c r="C74" s="575"/>
      <c r="D74" s="575"/>
      <c r="E74" s="575"/>
      <c r="F74" s="575"/>
      <c r="G74" s="575"/>
      <c r="H74" s="575"/>
      <c r="I74" s="575"/>
      <c r="J74" s="575"/>
      <c r="K74" s="575"/>
      <c r="L74" s="575"/>
      <c r="M74" s="575"/>
      <c r="N74" s="575"/>
      <c r="O74" s="575"/>
      <c r="P74" s="575"/>
      <c r="Q74" s="575"/>
      <c r="R74" s="577"/>
    </row>
    <row r="75" spans="2:18" x14ac:dyDescent="0.3">
      <c r="B75" s="576"/>
      <c r="C75" s="575"/>
      <c r="D75" s="575"/>
      <c r="E75" s="575"/>
      <c r="F75" s="575"/>
      <c r="G75" s="575"/>
      <c r="H75" s="575"/>
      <c r="I75" s="575"/>
      <c r="J75" s="575"/>
      <c r="K75" s="575"/>
      <c r="L75" s="575"/>
      <c r="M75" s="575"/>
      <c r="N75" s="575"/>
      <c r="O75" s="575"/>
      <c r="P75" s="575"/>
      <c r="Q75" s="575"/>
      <c r="R75" s="577"/>
    </row>
    <row r="76" spans="2:18" x14ac:dyDescent="0.3">
      <c r="B76" s="576"/>
      <c r="C76" s="575"/>
      <c r="D76" s="575"/>
      <c r="E76" s="575"/>
      <c r="F76" s="575"/>
      <c r="G76" s="575"/>
      <c r="H76" s="575"/>
      <c r="I76" s="575"/>
      <c r="J76" s="575"/>
      <c r="K76" s="575"/>
      <c r="L76" s="575"/>
      <c r="M76" s="575"/>
      <c r="N76" s="575"/>
      <c r="O76" s="575"/>
      <c r="P76" s="575"/>
      <c r="Q76" s="575"/>
      <c r="R76" s="577"/>
    </row>
    <row r="77" spans="2:18" x14ac:dyDescent="0.3">
      <c r="B77" s="576"/>
      <c r="C77" s="575"/>
      <c r="D77" s="575"/>
      <c r="E77" s="575"/>
      <c r="F77" s="575"/>
      <c r="G77" s="575"/>
      <c r="H77" s="575"/>
      <c r="I77" s="575"/>
      <c r="J77" s="575"/>
      <c r="K77" s="575"/>
      <c r="L77" s="575"/>
      <c r="M77" s="575"/>
      <c r="N77" s="575"/>
      <c r="O77" s="575"/>
      <c r="P77" s="575"/>
      <c r="Q77" s="575"/>
      <c r="R77" s="577"/>
    </row>
    <row r="78" spans="2:18" x14ac:dyDescent="0.3">
      <c r="B78" s="576"/>
      <c r="C78" s="575"/>
      <c r="D78" s="575"/>
      <c r="E78" s="575"/>
      <c r="F78" s="575"/>
      <c r="G78" s="575"/>
      <c r="H78" s="575"/>
      <c r="I78" s="575"/>
      <c r="J78" s="575"/>
      <c r="K78" s="575"/>
      <c r="L78" s="575"/>
      <c r="M78" s="575"/>
      <c r="N78" s="575"/>
      <c r="O78" s="575"/>
      <c r="P78" s="575"/>
      <c r="Q78" s="575"/>
      <c r="R78" s="577"/>
    </row>
    <row r="79" spans="2:18" x14ac:dyDescent="0.3">
      <c r="B79" s="576"/>
      <c r="C79" s="575"/>
      <c r="D79" s="575"/>
      <c r="E79" s="575"/>
      <c r="F79" s="575"/>
      <c r="G79" s="575"/>
      <c r="H79" s="575"/>
      <c r="I79" s="575"/>
      <c r="J79" s="575"/>
      <c r="K79" s="575"/>
      <c r="L79" s="575"/>
      <c r="M79" s="575"/>
      <c r="N79" s="575"/>
      <c r="O79" s="575"/>
      <c r="P79" s="575"/>
      <c r="Q79" s="575"/>
      <c r="R79" s="577"/>
    </row>
    <row r="80" spans="2:18" x14ac:dyDescent="0.3">
      <c r="B80" s="576"/>
      <c r="C80" s="575"/>
      <c r="D80" s="575"/>
      <c r="E80" s="575"/>
      <c r="F80" s="575"/>
      <c r="G80" s="575"/>
      <c r="H80" s="575"/>
      <c r="I80" s="575"/>
      <c r="J80" s="575"/>
      <c r="K80" s="575"/>
      <c r="L80" s="575"/>
      <c r="M80" s="575"/>
      <c r="N80" s="575"/>
      <c r="O80" s="575"/>
      <c r="P80" s="575"/>
      <c r="Q80" s="575"/>
      <c r="R80" s="577"/>
    </row>
    <row r="81" spans="2:18" x14ac:dyDescent="0.3">
      <c r="B81" s="576"/>
      <c r="C81" s="575"/>
      <c r="D81" s="575"/>
      <c r="E81" s="575"/>
      <c r="F81" s="575"/>
      <c r="G81" s="575"/>
      <c r="H81" s="575"/>
      <c r="I81" s="575"/>
      <c r="J81" s="575"/>
      <c r="K81" s="575"/>
      <c r="L81" s="575"/>
      <c r="M81" s="575"/>
      <c r="N81" s="575"/>
      <c r="O81" s="575"/>
      <c r="P81" s="575"/>
      <c r="Q81" s="575"/>
      <c r="R81" s="577"/>
    </row>
    <row r="82" spans="2:18" x14ac:dyDescent="0.3">
      <c r="B82" s="576"/>
      <c r="C82" s="575"/>
      <c r="D82" s="575"/>
      <c r="E82" s="575"/>
      <c r="F82" s="575"/>
      <c r="G82" s="575"/>
      <c r="H82" s="575"/>
      <c r="I82" s="575"/>
      <c r="J82" s="575"/>
      <c r="K82" s="575"/>
      <c r="L82" s="575"/>
      <c r="M82" s="575"/>
      <c r="N82" s="575"/>
      <c r="O82" s="575"/>
      <c r="P82" s="575"/>
      <c r="Q82" s="575"/>
      <c r="R82" s="577"/>
    </row>
    <row r="83" spans="2:18" x14ac:dyDescent="0.3">
      <c r="B83" s="576"/>
      <c r="C83" s="575"/>
      <c r="D83" s="575"/>
      <c r="E83" s="575"/>
      <c r="F83" s="575"/>
      <c r="G83" s="575"/>
      <c r="H83" s="575"/>
      <c r="I83" s="575"/>
      <c r="J83" s="575"/>
      <c r="K83" s="575"/>
      <c r="L83" s="575"/>
      <c r="M83" s="575"/>
      <c r="N83" s="575"/>
      <c r="O83" s="575"/>
      <c r="P83" s="575"/>
      <c r="Q83" s="575"/>
      <c r="R83" s="577"/>
    </row>
    <row r="84" spans="2:18" x14ac:dyDescent="0.3">
      <c r="B84" s="576"/>
      <c r="C84" s="575"/>
      <c r="D84" s="575"/>
      <c r="E84" s="575"/>
      <c r="F84" s="575"/>
      <c r="G84" s="575"/>
      <c r="H84" s="575"/>
      <c r="I84" s="575"/>
      <c r="J84" s="575"/>
      <c r="K84" s="575"/>
      <c r="L84" s="575"/>
      <c r="M84" s="575"/>
      <c r="N84" s="575"/>
      <c r="O84" s="575"/>
      <c r="P84" s="575"/>
      <c r="Q84" s="575"/>
      <c r="R84" s="577"/>
    </row>
    <row r="85" spans="2:18" x14ac:dyDescent="0.3">
      <c r="B85" s="576"/>
      <c r="C85" s="575"/>
      <c r="D85" s="575"/>
      <c r="E85" s="575"/>
      <c r="F85" s="575"/>
      <c r="G85" s="575"/>
      <c r="H85" s="575"/>
      <c r="I85" s="575"/>
      <c r="J85" s="575"/>
      <c r="K85" s="575"/>
      <c r="L85" s="575"/>
      <c r="M85" s="575"/>
      <c r="N85" s="575"/>
      <c r="O85" s="575"/>
      <c r="P85" s="575"/>
      <c r="Q85" s="575"/>
      <c r="R85" s="577"/>
    </row>
    <row r="86" spans="2:18" x14ac:dyDescent="0.3">
      <c r="B86" s="576"/>
      <c r="C86" s="575"/>
      <c r="D86" s="575"/>
      <c r="E86" s="575"/>
      <c r="F86" s="575"/>
      <c r="G86" s="575"/>
      <c r="H86" s="575"/>
      <c r="I86" s="575"/>
      <c r="J86" s="575"/>
      <c r="K86" s="575"/>
      <c r="L86" s="575"/>
      <c r="M86" s="575"/>
      <c r="N86" s="575"/>
      <c r="O86" s="575"/>
      <c r="P86" s="575"/>
      <c r="Q86" s="575"/>
      <c r="R86" s="577"/>
    </row>
    <row r="87" spans="2:18" x14ac:dyDescent="0.3">
      <c r="B87" s="576"/>
      <c r="C87" s="575"/>
      <c r="D87" s="575"/>
      <c r="E87" s="575"/>
      <c r="F87" s="575"/>
      <c r="G87" s="575"/>
      <c r="H87" s="575"/>
      <c r="I87" s="575"/>
      <c r="J87" s="575"/>
      <c r="K87" s="575"/>
      <c r="L87" s="575"/>
      <c r="M87" s="575"/>
      <c r="N87" s="575"/>
      <c r="O87" s="575"/>
      <c r="P87" s="575"/>
      <c r="Q87" s="575"/>
      <c r="R87" s="577"/>
    </row>
    <row r="88" spans="2:18" x14ac:dyDescent="0.3">
      <c r="B88" s="576"/>
      <c r="C88" s="575"/>
      <c r="D88" s="575"/>
      <c r="E88" s="575"/>
      <c r="F88" s="575"/>
      <c r="G88" s="575"/>
      <c r="H88" s="575"/>
      <c r="I88" s="575"/>
      <c r="J88" s="575"/>
      <c r="K88" s="575"/>
      <c r="L88" s="575"/>
      <c r="M88" s="575"/>
      <c r="N88" s="575"/>
      <c r="O88" s="575"/>
      <c r="P88" s="575"/>
      <c r="Q88" s="575"/>
      <c r="R88" s="577"/>
    </row>
    <row r="89" spans="2:18" x14ac:dyDescent="0.3">
      <c r="B89" s="576"/>
      <c r="C89" s="575"/>
      <c r="D89" s="575"/>
      <c r="E89" s="575"/>
      <c r="F89" s="575"/>
      <c r="G89" s="575"/>
      <c r="H89" s="575"/>
      <c r="I89" s="575"/>
      <c r="J89" s="575"/>
      <c r="K89" s="575"/>
      <c r="L89" s="575"/>
      <c r="M89" s="575"/>
      <c r="N89" s="575"/>
      <c r="O89" s="575"/>
      <c r="P89" s="575"/>
      <c r="Q89" s="575"/>
      <c r="R89" s="577"/>
    </row>
    <row r="90" spans="2:18" x14ac:dyDescent="0.3">
      <c r="B90" s="576"/>
      <c r="C90" s="575"/>
      <c r="D90" s="575"/>
      <c r="E90" s="575"/>
      <c r="F90" s="575"/>
      <c r="G90" s="575"/>
      <c r="H90" s="575"/>
      <c r="I90" s="575"/>
      <c r="J90" s="575"/>
      <c r="K90" s="575"/>
      <c r="L90" s="575"/>
      <c r="M90" s="575"/>
      <c r="N90" s="575"/>
      <c r="O90" s="575"/>
      <c r="P90" s="575"/>
      <c r="Q90" s="575"/>
      <c r="R90" s="577"/>
    </row>
    <row r="91" spans="2:18" x14ac:dyDescent="0.3">
      <c r="B91" s="576"/>
      <c r="C91" s="575"/>
      <c r="D91" s="575"/>
      <c r="E91" s="575"/>
      <c r="F91" s="575"/>
      <c r="G91" s="575"/>
      <c r="H91" s="575"/>
      <c r="I91" s="575"/>
      <c r="J91" s="575"/>
      <c r="K91" s="575"/>
      <c r="L91" s="575"/>
      <c r="M91" s="575"/>
      <c r="N91" s="575"/>
      <c r="O91" s="575"/>
      <c r="P91" s="575"/>
      <c r="Q91" s="575"/>
      <c r="R91" s="577"/>
    </row>
    <row r="92" spans="2:18" x14ac:dyDescent="0.3">
      <c r="B92" s="576"/>
      <c r="C92" s="575"/>
      <c r="D92" s="575"/>
      <c r="E92" s="575"/>
      <c r="F92" s="575"/>
      <c r="G92" s="575"/>
      <c r="H92" s="575"/>
      <c r="I92" s="575"/>
      <c r="J92" s="575"/>
      <c r="K92" s="575"/>
      <c r="L92" s="575"/>
      <c r="M92" s="575"/>
      <c r="N92" s="575"/>
      <c r="O92" s="575"/>
      <c r="P92" s="575"/>
      <c r="Q92" s="575"/>
      <c r="R92" s="577"/>
    </row>
    <row r="93" spans="2:18" x14ac:dyDescent="0.3">
      <c r="B93" s="576"/>
      <c r="C93" s="575"/>
      <c r="D93" s="575"/>
      <c r="E93" s="575"/>
      <c r="F93" s="575"/>
      <c r="G93" s="575"/>
      <c r="H93" s="575"/>
      <c r="I93" s="575"/>
      <c r="J93" s="575"/>
      <c r="K93" s="575"/>
      <c r="L93" s="575"/>
      <c r="M93" s="575"/>
      <c r="N93" s="575"/>
      <c r="O93" s="575"/>
      <c r="P93" s="575"/>
      <c r="Q93" s="575"/>
      <c r="R93" s="577"/>
    </row>
    <row r="94" spans="2:18" x14ac:dyDescent="0.3">
      <c r="B94" s="576"/>
      <c r="C94" s="575"/>
      <c r="D94" s="575"/>
      <c r="E94" s="575"/>
      <c r="F94" s="575"/>
      <c r="G94" s="575"/>
      <c r="H94" s="575"/>
      <c r="I94" s="575"/>
      <c r="J94" s="575"/>
      <c r="K94" s="575"/>
      <c r="L94" s="575"/>
      <c r="M94" s="575"/>
      <c r="N94" s="575"/>
      <c r="O94" s="575"/>
      <c r="P94" s="575"/>
      <c r="Q94" s="575"/>
      <c r="R94" s="577"/>
    </row>
    <row r="95" spans="2:18" s="8" customFormat="1" x14ac:dyDescent="0.3">
      <c r="B95" s="80"/>
      <c r="C95" s="81"/>
      <c r="D95" s="347"/>
      <c r="E95" s="81"/>
      <c r="F95" s="348"/>
      <c r="G95" s="348"/>
      <c r="H95" s="348"/>
      <c r="I95" s="348"/>
      <c r="J95" s="348"/>
      <c r="K95" s="348"/>
      <c r="L95" s="348"/>
      <c r="M95" s="348"/>
      <c r="N95" s="348"/>
      <c r="O95" s="348"/>
      <c r="P95" s="348"/>
      <c r="Q95" s="348"/>
      <c r="R95" s="84"/>
    </row>
    <row r="173" spans="2:3" ht="13.5" customHeight="1" x14ac:dyDescent="0.35">
      <c r="B173" s="413"/>
      <c r="C173" s="413"/>
    </row>
  </sheetData>
  <sheetProtection algorithmName="SHA-512" hashValue="f6MX63fNM0xF6f/gWKSMSC56QbKulLWVO7WAZsXuwOAq4MVjTxOX3zdeR6SlLALRVMKO0g63NydDpQilBz3BsA==" saltValue="Z0mngPgGMS43f5agE3G9mQ=="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110"/>
  <sheetViews>
    <sheetView topLeftCell="A23" zoomScale="85" zoomScaleNormal="85" workbookViewId="0">
      <selection activeCell="F66" sqref="F66"/>
    </sheetView>
  </sheetViews>
  <sheetFormatPr defaultColWidth="9.109375" defaultRowHeight="13.8" x14ac:dyDescent="0.3"/>
  <cols>
    <col min="1" max="1" width="3.6640625" style="8" customWidth="1"/>
    <col min="2" max="2" width="2.6640625" style="8" customWidth="1"/>
    <col min="3" max="3" width="2.88671875" style="8" customWidth="1"/>
    <col min="4" max="4" width="45.6640625" style="8" customWidth="1"/>
    <col min="5" max="5" width="2.6640625" style="8" customWidth="1"/>
    <col min="6" max="11" width="16.88671875" style="8" customWidth="1"/>
    <col min="12" max="12" width="2.88671875" style="8" customWidth="1"/>
    <col min="13" max="13" width="2.6640625" style="8" customWidth="1"/>
    <col min="14" max="16384" width="9.109375" style="8"/>
  </cols>
  <sheetData>
    <row r="2" spans="2:12" x14ac:dyDescent="0.3">
      <c r="B2" s="56"/>
      <c r="C2" s="57"/>
      <c r="D2" s="57"/>
      <c r="E2" s="57"/>
      <c r="F2" s="57"/>
      <c r="G2" s="57"/>
      <c r="H2" s="57"/>
      <c r="I2" s="57"/>
      <c r="J2" s="57"/>
      <c r="K2" s="57"/>
      <c r="L2" s="60"/>
    </row>
    <row r="3" spans="2:12" x14ac:dyDescent="0.3">
      <c r="B3" s="61"/>
      <c r="C3" s="62"/>
      <c r="D3" s="62"/>
      <c r="E3" s="62"/>
      <c r="F3" s="62"/>
      <c r="G3" s="62"/>
      <c r="H3" s="62"/>
      <c r="I3" s="62"/>
      <c r="J3" s="62"/>
      <c r="K3" s="62"/>
      <c r="L3" s="65"/>
    </row>
    <row r="4" spans="2:12" s="12" customFormat="1" ht="18" x14ac:dyDescent="0.35">
      <c r="B4" s="426"/>
      <c r="C4" s="834" t="s">
        <v>36</v>
      </c>
      <c r="D4" s="67"/>
      <c r="E4" s="73"/>
      <c r="F4" s="73"/>
      <c r="G4" s="73"/>
      <c r="H4" s="73"/>
      <c r="I4" s="73"/>
      <c r="J4" s="73"/>
      <c r="K4" s="73"/>
      <c r="L4" s="76"/>
    </row>
    <row r="5" spans="2:12" ht="18" x14ac:dyDescent="0.35">
      <c r="B5" s="66"/>
      <c r="C5" s="68" t="str">
        <f>geg!F11</f>
        <v>Voorbeeldschool</v>
      </c>
      <c r="D5" s="430"/>
      <c r="E5" s="62"/>
      <c r="F5" s="62"/>
      <c r="G5" s="62"/>
      <c r="H5" s="62"/>
      <c r="I5" s="62"/>
      <c r="J5" s="62"/>
      <c r="K5" s="62"/>
      <c r="L5" s="65"/>
    </row>
    <row r="6" spans="2:12" x14ac:dyDescent="0.3">
      <c r="B6" s="61"/>
      <c r="C6" s="62"/>
      <c r="D6" s="62"/>
      <c r="E6" s="62"/>
      <c r="F6" s="62"/>
      <c r="G6" s="62"/>
      <c r="H6" s="62"/>
      <c r="I6" s="62"/>
      <c r="J6" s="62"/>
      <c r="K6" s="62"/>
      <c r="L6" s="65"/>
    </row>
    <row r="7" spans="2:12" x14ac:dyDescent="0.3">
      <c r="B7" s="61"/>
      <c r="C7" s="62"/>
      <c r="D7" s="62"/>
      <c r="E7" s="62"/>
      <c r="F7" s="62"/>
      <c r="G7" s="62"/>
      <c r="H7" s="62"/>
      <c r="I7" s="62"/>
      <c r="J7" s="62"/>
      <c r="K7" s="62"/>
      <c r="L7" s="65"/>
    </row>
    <row r="8" spans="2:12" x14ac:dyDescent="0.3">
      <c r="B8" s="61"/>
      <c r="C8" s="62"/>
      <c r="D8" s="1018" t="s">
        <v>338</v>
      </c>
      <c r="E8" s="876"/>
      <c r="F8" s="876"/>
      <c r="G8" s="876"/>
      <c r="H8" s="876"/>
      <c r="I8" s="876"/>
      <c r="J8" s="876"/>
      <c r="K8" s="876"/>
      <c r="L8" s="65"/>
    </row>
    <row r="9" spans="2:12" x14ac:dyDescent="0.3">
      <c r="B9" s="61"/>
      <c r="C9" s="62"/>
      <c r="D9" s="1019" t="s">
        <v>389</v>
      </c>
      <c r="E9" s="876"/>
      <c r="F9" s="876"/>
      <c r="G9" s="876"/>
      <c r="H9" s="876"/>
      <c r="I9" s="876"/>
      <c r="J9" s="876"/>
      <c r="K9" s="876"/>
      <c r="L9" s="65"/>
    </row>
    <row r="10" spans="2:12" x14ac:dyDescent="0.3">
      <c r="B10" s="61"/>
      <c r="C10" s="62"/>
      <c r="D10" s="1019" t="s">
        <v>390</v>
      </c>
      <c r="E10" s="876"/>
      <c r="F10" s="1253"/>
      <c r="G10" s="1253"/>
      <c r="H10" s="1020"/>
      <c r="I10" s="1020"/>
      <c r="J10" s="1020"/>
      <c r="K10" s="1020"/>
      <c r="L10" s="65"/>
    </row>
    <row r="11" spans="2:12" x14ac:dyDescent="0.3">
      <c r="B11" s="61"/>
      <c r="C11" s="62"/>
      <c r="D11" s="1021" t="s">
        <v>391</v>
      </c>
      <c r="E11" s="876"/>
      <c r="F11" s="1028"/>
      <c r="G11" s="1028"/>
      <c r="H11" s="1020"/>
      <c r="I11" s="1020"/>
      <c r="J11" s="1020"/>
      <c r="K11" s="1020"/>
      <c r="L11" s="65"/>
    </row>
    <row r="12" spans="2:12" x14ac:dyDescent="0.3">
      <c r="B12" s="61"/>
      <c r="C12" s="62"/>
      <c r="D12" s="1021" t="s">
        <v>339</v>
      </c>
      <c r="E12" s="876"/>
      <c r="F12" s="1028"/>
      <c r="G12" s="1028"/>
      <c r="H12" s="1020"/>
      <c r="I12" s="1020"/>
      <c r="J12" s="1020"/>
      <c r="K12" s="1020"/>
      <c r="L12" s="65"/>
    </row>
    <row r="13" spans="2:12" x14ac:dyDescent="0.3">
      <c r="B13" s="61"/>
      <c r="C13" s="62"/>
      <c r="D13" s="1021" t="s">
        <v>403</v>
      </c>
      <c r="E13" s="876"/>
      <c r="F13" s="1028"/>
      <c r="G13" s="1028"/>
      <c r="H13" s="1020"/>
      <c r="I13" s="1020"/>
      <c r="J13" s="1020"/>
      <c r="K13" s="1020"/>
      <c r="L13" s="65"/>
    </row>
    <row r="14" spans="2:12" x14ac:dyDescent="0.3">
      <c r="B14" s="61"/>
      <c r="C14" s="62"/>
      <c r="D14" s="1021"/>
      <c r="E14" s="992"/>
      <c r="F14" s="871"/>
      <c r="G14" s="871"/>
      <c r="H14" s="871"/>
      <c r="I14" s="871"/>
      <c r="J14" s="871"/>
      <c r="K14" s="871"/>
      <c r="L14" s="584"/>
    </row>
    <row r="15" spans="2:12" x14ac:dyDescent="0.3">
      <c r="B15" s="61"/>
      <c r="C15" s="62"/>
      <c r="D15" s="876"/>
      <c r="E15" s="992"/>
      <c r="F15" s="871"/>
      <c r="G15" s="871"/>
      <c r="H15" s="871"/>
      <c r="I15" s="871"/>
      <c r="J15" s="871"/>
      <c r="K15" s="871"/>
      <c r="L15" s="584"/>
    </row>
    <row r="16" spans="2:12" s="12" customFormat="1" x14ac:dyDescent="0.3">
      <c r="B16" s="72"/>
      <c r="C16" s="73"/>
      <c r="D16" s="997" t="s">
        <v>241</v>
      </c>
      <c r="E16" s="992"/>
      <c r="F16" s="871">
        <f>tab!C4</f>
        <v>2021</v>
      </c>
      <c r="G16" s="871">
        <f>F16+1</f>
        <v>2022</v>
      </c>
      <c r="H16" s="871">
        <f>G16+1</f>
        <v>2023</v>
      </c>
      <c r="I16" s="871">
        <f>H16+1</f>
        <v>2024</v>
      </c>
      <c r="J16" s="871">
        <f t="shared" ref="J16:K16" si="0">I16+1</f>
        <v>2025</v>
      </c>
      <c r="K16" s="871">
        <f t="shared" si="0"/>
        <v>2026</v>
      </c>
      <c r="L16" s="585"/>
    </row>
    <row r="17" spans="1:14" x14ac:dyDescent="0.3">
      <c r="B17" s="61"/>
      <c r="C17" s="423"/>
      <c r="D17" s="876"/>
      <c r="E17" s="992"/>
      <c r="F17" s="876"/>
      <c r="G17" s="876"/>
      <c r="H17" s="876"/>
      <c r="I17" s="876"/>
      <c r="J17" s="876"/>
      <c r="K17" s="876"/>
      <c r="L17" s="584"/>
    </row>
    <row r="18" spans="1:14" x14ac:dyDescent="0.3">
      <c r="B18" s="61"/>
      <c r="C18" s="435"/>
      <c r="D18" s="1032"/>
      <c r="E18" s="943"/>
      <c r="F18" s="944"/>
      <c r="G18" s="944"/>
      <c r="H18" s="943"/>
      <c r="I18" s="943"/>
      <c r="J18" s="943"/>
      <c r="K18" s="943"/>
      <c r="L18" s="65"/>
    </row>
    <row r="19" spans="1:14" x14ac:dyDescent="0.3">
      <c r="B19" s="61"/>
      <c r="C19" s="122"/>
      <c r="D19" s="472" t="s">
        <v>366</v>
      </c>
      <c r="E19" s="123"/>
      <c r="F19" s="837" t="str">
        <f>geg!F11</f>
        <v>Voorbeeldschool</v>
      </c>
      <c r="G19" s="838"/>
      <c r="H19" s="839"/>
      <c r="I19" s="839"/>
      <c r="J19" s="839"/>
      <c r="K19" s="839"/>
      <c r="L19" s="65"/>
      <c r="M19" s="472"/>
      <c r="N19" s="472"/>
    </row>
    <row r="20" spans="1:14" x14ac:dyDescent="0.3">
      <c r="B20" s="61"/>
      <c r="C20" s="122"/>
      <c r="D20" s="472" t="s">
        <v>367</v>
      </c>
      <c r="E20" s="123"/>
      <c r="F20" s="837" t="str">
        <f>geg!F12</f>
        <v>00AA</v>
      </c>
      <c r="G20" s="838"/>
      <c r="H20" s="839"/>
      <c r="I20" s="839"/>
      <c r="J20" s="839"/>
      <c r="K20" s="839"/>
      <c r="L20" s="65"/>
      <c r="M20" s="472"/>
      <c r="N20" s="472"/>
    </row>
    <row r="21" spans="1:14" x14ac:dyDescent="0.3">
      <c r="B21" s="61"/>
      <c r="C21" s="122"/>
      <c r="D21" s="472" t="s">
        <v>368</v>
      </c>
      <c r="E21" s="123"/>
      <c r="F21" s="840">
        <f ca="1">TODAY()</f>
        <v>44544</v>
      </c>
      <c r="G21" s="838"/>
      <c r="H21" s="839"/>
      <c r="I21" s="839"/>
      <c r="J21" s="839"/>
      <c r="K21" s="839"/>
      <c r="L21" s="65"/>
      <c r="M21" s="472"/>
      <c r="N21" s="472"/>
    </row>
    <row r="22" spans="1:14" x14ac:dyDescent="0.3">
      <c r="A22" s="174"/>
      <c r="B22" s="184"/>
      <c r="C22" s="205"/>
      <c r="D22" s="472" t="s">
        <v>126</v>
      </c>
      <c r="E22" s="123"/>
      <c r="F22" s="841">
        <f>begr!G14</f>
        <v>1855114.1452593335</v>
      </c>
      <c r="G22" s="841">
        <f>begr!H14</f>
        <v>1707225.2481840667</v>
      </c>
      <c r="H22" s="841">
        <f>begr!I14</f>
        <v>1652564.9736050002</v>
      </c>
      <c r="I22" s="841">
        <f>begr!J14</f>
        <v>1664523.2045449999</v>
      </c>
      <c r="J22" s="841">
        <f>begr!K14</f>
        <v>1676481.4354849998</v>
      </c>
      <c r="K22" s="841">
        <f>begr!L14</f>
        <v>1680829.0701999997</v>
      </c>
      <c r="L22" s="185"/>
      <c r="M22" s="472"/>
      <c r="N22" s="472"/>
    </row>
    <row r="23" spans="1:14" x14ac:dyDescent="0.3">
      <c r="A23" s="174"/>
      <c r="B23" s="184"/>
      <c r="C23" s="205"/>
      <c r="D23" s="472" t="s">
        <v>84</v>
      </c>
      <c r="E23" s="146"/>
      <c r="F23" s="841">
        <f>begr!G15</f>
        <v>0</v>
      </c>
      <c r="G23" s="841">
        <f>begr!H15</f>
        <v>0</v>
      </c>
      <c r="H23" s="841">
        <f>begr!I15</f>
        <v>0</v>
      </c>
      <c r="I23" s="841">
        <f>begr!J15</f>
        <v>0</v>
      </c>
      <c r="J23" s="841">
        <f>begr!K15</f>
        <v>0</v>
      </c>
      <c r="K23" s="841">
        <f>begr!L15</f>
        <v>0</v>
      </c>
      <c r="L23" s="185"/>
      <c r="M23" s="472"/>
      <c r="N23" s="472"/>
    </row>
    <row r="24" spans="1:14" x14ac:dyDescent="0.3">
      <c r="A24" s="174"/>
      <c r="B24" s="184"/>
      <c r="C24" s="205"/>
      <c r="D24" s="472" t="s">
        <v>127</v>
      </c>
      <c r="E24" s="146"/>
      <c r="F24" s="841">
        <f>begr!G16</f>
        <v>0</v>
      </c>
      <c r="G24" s="841">
        <f>begr!H16</f>
        <v>0</v>
      </c>
      <c r="H24" s="841">
        <f>begr!I16</f>
        <v>0</v>
      </c>
      <c r="I24" s="841">
        <f>begr!J16</f>
        <v>0</v>
      </c>
      <c r="J24" s="841">
        <f>begr!K16</f>
        <v>0</v>
      </c>
      <c r="K24" s="841">
        <f>begr!L16</f>
        <v>0</v>
      </c>
      <c r="L24" s="185"/>
      <c r="M24" s="472"/>
      <c r="N24" s="472"/>
    </row>
    <row r="25" spans="1:14" x14ac:dyDescent="0.3">
      <c r="A25" s="174"/>
      <c r="B25" s="184"/>
      <c r="C25" s="205"/>
      <c r="D25" s="472" t="s">
        <v>91</v>
      </c>
      <c r="E25" s="146"/>
      <c r="F25" s="841">
        <f>begr!G17</f>
        <v>0</v>
      </c>
      <c r="G25" s="841">
        <f>begr!H17</f>
        <v>0</v>
      </c>
      <c r="H25" s="841">
        <f>begr!I17</f>
        <v>0</v>
      </c>
      <c r="I25" s="841">
        <f>begr!J17</f>
        <v>0</v>
      </c>
      <c r="J25" s="841">
        <f>begr!K17</f>
        <v>0</v>
      </c>
      <c r="K25" s="841">
        <f>begr!L17</f>
        <v>0</v>
      </c>
      <c r="L25" s="185"/>
      <c r="M25" s="472"/>
      <c r="N25" s="472"/>
    </row>
    <row r="26" spans="1:14" x14ac:dyDescent="0.3">
      <c r="B26" s="61"/>
      <c r="C26" s="122"/>
      <c r="D26" s="123" t="s">
        <v>242</v>
      </c>
      <c r="E26" s="123"/>
      <c r="F26" s="841">
        <f>begr!G18</f>
        <v>0</v>
      </c>
      <c r="G26" s="841">
        <f>begr!H18</f>
        <v>0</v>
      </c>
      <c r="H26" s="841">
        <f>begr!I18</f>
        <v>0</v>
      </c>
      <c r="I26" s="841">
        <f>begr!J18</f>
        <v>0</v>
      </c>
      <c r="J26" s="841">
        <f>begr!K18</f>
        <v>0</v>
      </c>
      <c r="K26" s="841">
        <f>begr!L18</f>
        <v>0</v>
      </c>
      <c r="L26" s="65"/>
      <c r="M26" s="123"/>
      <c r="N26" s="123"/>
    </row>
    <row r="27" spans="1:14" x14ac:dyDescent="0.3">
      <c r="B27" s="61"/>
      <c r="C27" s="122"/>
      <c r="D27" s="484" t="s">
        <v>13</v>
      </c>
      <c r="E27" s="123"/>
      <c r="F27" s="841">
        <f>begr!G21</f>
        <v>197874.85091259796</v>
      </c>
      <c r="G27" s="841">
        <f>begr!H21</f>
        <v>207937.34532851118</v>
      </c>
      <c r="H27" s="841">
        <f>begr!I21</f>
        <v>214767.81916817365</v>
      </c>
      <c r="I27" s="841">
        <f>begr!J21</f>
        <v>220906.10198915013</v>
      </c>
      <c r="J27" s="841">
        <f>begr!K21</f>
        <v>227046.89692585898</v>
      </c>
      <c r="K27" s="841">
        <f>begr!L21</f>
        <v>231610.73273056059</v>
      </c>
      <c r="L27" s="65"/>
      <c r="M27" s="484"/>
      <c r="N27" s="484"/>
    </row>
    <row r="28" spans="1:14" x14ac:dyDescent="0.3">
      <c r="B28" s="61"/>
      <c r="C28" s="122"/>
      <c r="D28" s="484" t="s">
        <v>94</v>
      </c>
      <c r="E28" s="123"/>
      <c r="F28" s="841">
        <f>begr!G22</f>
        <v>7929.17</v>
      </c>
      <c r="G28" s="841">
        <f>begr!H22</f>
        <v>0</v>
      </c>
      <c r="H28" s="841">
        <f>begr!I22</f>
        <v>0</v>
      </c>
      <c r="I28" s="841">
        <f>begr!J22</f>
        <v>0</v>
      </c>
      <c r="J28" s="841">
        <f>begr!K22</f>
        <v>0</v>
      </c>
      <c r="K28" s="841">
        <f>begr!L22</f>
        <v>0</v>
      </c>
      <c r="L28" s="65"/>
      <c r="M28" s="484"/>
      <c r="N28" s="484"/>
    </row>
    <row r="29" spans="1:14" x14ac:dyDescent="0.3">
      <c r="B29" s="61"/>
      <c r="C29" s="122"/>
      <c r="D29" s="123" t="s">
        <v>244</v>
      </c>
      <c r="E29" s="123"/>
      <c r="F29" s="841">
        <f>begr!G24</f>
        <v>43750</v>
      </c>
      <c r="G29" s="841">
        <f>begr!H24</f>
        <v>43750</v>
      </c>
      <c r="H29" s="841">
        <f>begr!I24</f>
        <v>87500</v>
      </c>
      <c r="I29" s="841">
        <f>begr!J24</f>
        <v>43750</v>
      </c>
      <c r="J29" s="841">
        <f>begr!K24</f>
        <v>43750</v>
      </c>
      <c r="K29" s="841">
        <f>begr!L24</f>
        <v>43750</v>
      </c>
      <c r="L29" s="65"/>
      <c r="M29" s="123"/>
      <c r="N29" s="123"/>
    </row>
    <row r="30" spans="1:14" x14ac:dyDescent="0.3">
      <c r="B30" s="61"/>
      <c r="C30" s="122"/>
      <c r="D30" s="123" t="s">
        <v>245</v>
      </c>
      <c r="E30" s="123"/>
      <c r="F30" s="841">
        <f>begr!G25</f>
        <v>0</v>
      </c>
      <c r="G30" s="841">
        <f>begr!H25</f>
        <v>0</v>
      </c>
      <c r="H30" s="841">
        <f>begr!I25</f>
        <v>0</v>
      </c>
      <c r="I30" s="841">
        <f>begr!J25</f>
        <v>0</v>
      </c>
      <c r="J30" s="841">
        <f>begr!K25</f>
        <v>0</v>
      </c>
      <c r="K30" s="841">
        <f>begr!L25</f>
        <v>0</v>
      </c>
      <c r="L30" s="65"/>
      <c r="M30" s="123"/>
      <c r="N30" s="123"/>
    </row>
    <row r="31" spans="1:14" x14ac:dyDescent="0.3">
      <c r="B31" s="61"/>
      <c r="C31" s="122"/>
      <c r="D31" s="123" t="s">
        <v>511</v>
      </c>
      <c r="E31" s="123"/>
      <c r="F31" s="841">
        <f>begr!G26</f>
        <v>0</v>
      </c>
      <c r="G31" s="841">
        <f>begr!H26</f>
        <v>0</v>
      </c>
      <c r="H31" s="841">
        <f>begr!I26</f>
        <v>0</v>
      </c>
      <c r="I31" s="841">
        <f>begr!J26</f>
        <v>0</v>
      </c>
      <c r="J31" s="841">
        <f>begr!K26</f>
        <v>0</v>
      </c>
      <c r="K31" s="841">
        <f>begr!L26</f>
        <v>0</v>
      </c>
      <c r="L31" s="65"/>
      <c r="M31" s="123"/>
      <c r="N31" s="123"/>
    </row>
    <row r="32" spans="1:14" x14ac:dyDescent="0.3">
      <c r="B32" s="61"/>
      <c r="C32" s="122"/>
      <c r="D32" s="472" t="s">
        <v>228</v>
      </c>
      <c r="E32" s="482"/>
      <c r="F32" s="841">
        <f>begr!G35</f>
        <v>0</v>
      </c>
      <c r="G32" s="841">
        <f>begr!H35</f>
        <v>0</v>
      </c>
      <c r="H32" s="841">
        <f>begr!I35</f>
        <v>0</v>
      </c>
      <c r="I32" s="841">
        <f>begr!J35</f>
        <v>0</v>
      </c>
      <c r="J32" s="841">
        <f>begr!K35</f>
        <v>0</v>
      </c>
      <c r="K32" s="841">
        <f>begr!L35</f>
        <v>0</v>
      </c>
      <c r="L32" s="65"/>
      <c r="M32" s="472"/>
      <c r="N32" s="472"/>
    </row>
    <row r="33" spans="2:14" x14ac:dyDescent="0.3">
      <c r="B33" s="61"/>
      <c r="C33" s="122"/>
      <c r="D33" s="472" t="s">
        <v>229</v>
      </c>
      <c r="E33" s="482"/>
      <c r="F33" s="841">
        <f>begr!G36</f>
        <v>0</v>
      </c>
      <c r="G33" s="841">
        <f>begr!H36</f>
        <v>0</v>
      </c>
      <c r="H33" s="841">
        <f>begr!I36</f>
        <v>0</v>
      </c>
      <c r="I33" s="841">
        <f>begr!J36</f>
        <v>0</v>
      </c>
      <c r="J33" s="841">
        <f>begr!K36</f>
        <v>0</v>
      </c>
      <c r="K33" s="841">
        <f>begr!L36</f>
        <v>0</v>
      </c>
      <c r="L33" s="65"/>
      <c r="M33" s="472"/>
      <c r="N33" s="472"/>
    </row>
    <row r="34" spans="2:14" x14ac:dyDescent="0.3">
      <c r="B34" s="61"/>
      <c r="C34" s="122"/>
      <c r="D34" s="472" t="s">
        <v>135</v>
      </c>
      <c r="E34" s="482"/>
      <c r="F34" s="841">
        <f>begr!G42</f>
        <v>1605560.1243467357</v>
      </c>
      <c r="G34" s="841">
        <f>begr!H42</f>
        <v>1455537.9028555555</v>
      </c>
      <c r="H34" s="841">
        <f>begr!I42</f>
        <v>1350297.1544368265</v>
      </c>
      <c r="I34" s="841">
        <f>begr!J42</f>
        <v>1399867.1025558496</v>
      </c>
      <c r="J34" s="841">
        <f>begr!K42</f>
        <v>1405684.5385591409</v>
      </c>
      <c r="K34" s="841">
        <f>begr!L42</f>
        <v>1405468.337469439</v>
      </c>
      <c r="L34" s="65"/>
      <c r="M34" s="472"/>
      <c r="N34" s="472"/>
    </row>
    <row r="35" spans="2:14" x14ac:dyDescent="0.3">
      <c r="B35" s="61"/>
      <c r="C35" s="122"/>
      <c r="D35" s="123" t="s">
        <v>388</v>
      </c>
      <c r="E35" s="123"/>
      <c r="F35" s="841">
        <f>bal!G17</f>
        <v>-43750</v>
      </c>
      <c r="G35" s="841">
        <f>bal!H17</f>
        <v>-87500</v>
      </c>
      <c r="H35" s="841">
        <f>bal!I17</f>
        <v>-131250</v>
      </c>
      <c r="I35" s="841">
        <f>bal!J17</f>
        <v>0</v>
      </c>
      <c r="J35" s="841">
        <f>bal!K17</f>
        <v>-43750</v>
      </c>
      <c r="K35" s="841">
        <f>bal!L17</f>
        <v>-87500</v>
      </c>
      <c r="L35" s="65"/>
      <c r="M35" s="123"/>
      <c r="N35" s="123"/>
    </row>
    <row r="36" spans="2:14" x14ac:dyDescent="0.3">
      <c r="B36" s="61"/>
      <c r="C36" s="122"/>
      <c r="D36" s="123" t="s">
        <v>172</v>
      </c>
      <c r="E36" s="123"/>
      <c r="F36" s="841">
        <f>bal!G23</f>
        <v>0</v>
      </c>
      <c r="G36" s="841">
        <f>bal!H23</f>
        <v>1649310.1243467357</v>
      </c>
      <c r="H36" s="841">
        <f>bal!I23</f>
        <v>3148598.0272022914</v>
      </c>
      <c r="I36" s="841">
        <f>bal!J23</f>
        <v>4367645.1816391181</v>
      </c>
      <c r="J36" s="841">
        <f>bal!K23</f>
        <v>5811262.2841949677</v>
      </c>
      <c r="K36" s="841">
        <f>bal!L23</f>
        <v>7260696.8227541083</v>
      </c>
      <c r="L36" s="65"/>
      <c r="M36" s="123"/>
      <c r="N36" s="123"/>
    </row>
    <row r="37" spans="2:14" x14ac:dyDescent="0.3">
      <c r="B37" s="61"/>
      <c r="C37" s="122"/>
      <c r="D37" s="123" t="s">
        <v>340</v>
      </c>
      <c r="E37" s="123"/>
      <c r="F37" s="841">
        <f>bal!G36</f>
        <v>-43750</v>
      </c>
      <c r="G37" s="841">
        <f>bal!H36</f>
        <v>1561810.1243467357</v>
      </c>
      <c r="H37" s="841">
        <f>bal!I36</f>
        <v>3017348.0272022914</v>
      </c>
      <c r="I37" s="841">
        <f>bal!J36</f>
        <v>4367645.1816391181</v>
      </c>
      <c r="J37" s="841">
        <f>bal!K36</f>
        <v>5767512.2841949677</v>
      </c>
      <c r="K37" s="841">
        <f>bal!L36</f>
        <v>7173196.8227541083</v>
      </c>
      <c r="L37" s="65"/>
      <c r="M37" s="123"/>
      <c r="N37" s="123"/>
    </row>
    <row r="38" spans="2:14" x14ac:dyDescent="0.3">
      <c r="B38" s="61"/>
      <c r="C38" s="122"/>
      <c r="D38" s="123" t="s">
        <v>205</v>
      </c>
      <c r="E38" s="123"/>
      <c r="F38" s="841">
        <f>bal!G42</f>
        <v>0</v>
      </c>
      <c r="G38" s="841">
        <f>bal!H42</f>
        <v>0</v>
      </c>
      <c r="H38" s="841">
        <f>bal!I42</f>
        <v>0</v>
      </c>
      <c r="I38" s="841">
        <f>bal!J42</f>
        <v>0</v>
      </c>
      <c r="J38" s="841">
        <f>bal!K42</f>
        <v>0</v>
      </c>
      <c r="K38" s="841">
        <f>bal!L42</f>
        <v>0</v>
      </c>
      <c r="L38" s="65"/>
      <c r="M38" s="123"/>
      <c r="N38" s="123"/>
    </row>
    <row r="39" spans="2:14" x14ac:dyDescent="0.3">
      <c r="B39" s="61"/>
      <c r="C39" s="122"/>
      <c r="D39" s="123" t="s">
        <v>174</v>
      </c>
      <c r="E39" s="123"/>
      <c r="F39" s="841">
        <f>bal!G46</f>
        <v>0</v>
      </c>
      <c r="G39" s="841">
        <f>bal!H46</f>
        <v>0</v>
      </c>
      <c r="H39" s="841">
        <f>bal!I46</f>
        <v>0</v>
      </c>
      <c r="I39" s="841">
        <f>bal!J46</f>
        <v>0</v>
      </c>
      <c r="J39" s="841">
        <f>bal!K46</f>
        <v>0</v>
      </c>
      <c r="K39" s="841">
        <f>bal!L46</f>
        <v>0</v>
      </c>
      <c r="L39" s="65"/>
      <c r="M39" s="123"/>
      <c r="N39" s="123"/>
    </row>
    <row r="40" spans="2:14" x14ac:dyDescent="0.3">
      <c r="B40" s="61"/>
      <c r="C40" s="122"/>
      <c r="D40" s="123" t="s">
        <v>175</v>
      </c>
      <c r="E40" s="123"/>
      <c r="F40" s="841">
        <f>bal!G55</f>
        <v>0</v>
      </c>
      <c r="G40" s="841">
        <f>bal!H55</f>
        <v>0</v>
      </c>
      <c r="H40" s="841">
        <f>bal!I55</f>
        <v>0</v>
      </c>
      <c r="I40" s="841">
        <f>bal!J55</f>
        <v>0</v>
      </c>
      <c r="J40" s="841">
        <f>bal!K55</f>
        <v>0</v>
      </c>
      <c r="K40" s="841">
        <f>bal!L55</f>
        <v>0</v>
      </c>
      <c r="L40" s="65"/>
      <c r="M40" s="123"/>
      <c r="N40" s="123"/>
    </row>
    <row r="41" spans="2:14" x14ac:dyDescent="0.3">
      <c r="B41" s="61"/>
      <c r="C41" s="122"/>
      <c r="D41" s="123" t="s">
        <v>372</v>
      </c>
      <c r="E41" s="123"/>
      <c r="F41" s="843"/>
      <c r="G41" s="843"/>
      <c r="H41" s="843"/>
      <c r="I41" s="843"/>
      <c r="J41" s="843"/>
      <c r="K41" s="843"/>
      <c r="L41" s="65"/>
      <c r="M41" s="123"/>
      <c r="N41" s="123"/>
    </row>
    <row r="42" spans="2:14" x14ac:dyDescent="0.3">
      <c r="B42" s="61"/>
      <c r="C42" s="122"/>
      <c r="D42" s="123" t="s">
        <v>373</v>
      </c>
      <c r="E42" s="123"/>
      <c r="F42" s="843"/>
      <c r="G42" s="843"/>
      <c r="H42" s="843"/>
      <c r="I42" s="843"/>
      <c r="J42" s="843"/>
      <c r="K42" s="843"/>
      <c r="L42" s="65"/>
      <c r="M42" s="123"/>
      <c r="N42" s="123"/>
    </row>
    <row r="43" spans="2:14" x14ac:dyDescent="0.3">
      <c r="B43" s="61"/>
      <c r="C43" s="122"/>
      <c r="D43" s="472" t="s">
        <v>374</v>
      </c>
      <c r="E43" s="123"/>
      <c r="F43" s="843"/>
      <c r="G43" s="843"/>
      <c r="H43" s="843"/>
      <c r="I43" s="843"/>
      <c r="J43" s="843"/>
      <c r="K43" s="843"/>
      <c r="L43" s="65"/>
      <c r="M43" s="472"/>
      <c r="N43" s="472"/>
    </row>
    <row r="44" spans="2:14" x14ac:dyDescent="0.3">
      <c r="B44" s="61"/>
      <c r="C44" s="122"/>
      <c r="D44" s="472" t="s">
        <v>375</v>
      </c>
      <c r="E44" s="123"/>
      <c r="F44" s="843"/>
      <c r="G44" s="843"/>
      <c r="H44" s="843"/>
      <c r="I44" s="843"/>
      <c r="J44" s="843"/>
      <c r="K44" s="843"/>
      <c r="L44" s="65"/>
      <c r="M44" s="472"/>
      <c r="N44" s="472"/>
    </row>
    <row r="45" spans="2:14" x14ac:dyDescent="0.3">
      <c r="B45" s="61"/>
      <c r="C45" s="122"/>
      <c r="D45" s="472" t="s">
        <v>34</v>
      </c>
      <c r="E45" s="123"/>
      <c r="F45" s="843">
        <f>geg!G25</f>
        <v>132</v>
      </c>
      <c r="G45" s="843">
        <f>geg!H25</f>
        <v>117</v>
      </c>
      <c r="H45" s="843">
        <f>geg!I25</f>
        <v>117</v>
      </c>
      <c r="I45" s="843">
        <f>geg!J25</f>
        <v>117</v>
      </c>
      <c r="J45" s="843">
        <f>geg!K25</f>
        <v>117</v>
      </c>
      <c r="K45" s="843">
        <f>geg!L25</f>
        <v>117</v>
      </c>
      <c r="L45" s="65"/>
      <c r="M45" s="472"/>
      <c r="N45" s="472"/>
    </row>
    <row r="46" spans="2:14" x14ac:dyDescent="0.3">
      <c r="B46" s="61"/>
      <c r="C46" s="122"/>
      <c r="D46" s="472" t="s">
        <v>512</v>
      </c>
      <c r="E46" s="123"/>
      <c r="F46" s="843">
        <f>+geg!G26</f>
        <v>22</v>
      </c>
      <c r="G46" s="843">
        <f>+geg!H26</f>
        <v>16</v>
      </c>
      <c r="H46" s="843">
        <f>+geg!I26</f>
        <v>16</v>
      </c>
      <c r="I46" s="843">
        <f>+geg!J26</f>
        <v>16</v>
      </c>
      <c r="J46" s="843">
        <f>+geg!K26</f>
        <v>16</v>
      </c>
      <c r="K46" s="843">
        <f>+geg!L26</f>
        <v>16</v>
      </c>
      <c r="L46" s="65"/>
      <c r="M46" s="472"/>
      <c r="N46" s="472"/>
    </row>
    <row r="47" spans="2:14" x14ac:dyDescent="0.3">
      <c r="B47" s="61"/>
      <c r="C47" s="122"/>
      <c r="D47" s="472" t="s">
        <v>513</v>
      </c>
      <c r="E47" s="123"/>
      <c r="F47" s="843"/>
      <c r="G47" s="843"/>
      <c r="H47" s="843"/>
      <c r="I47" s="843"/>
      <c r="J47" s="843"/>
      <c r="K47" s="843"/>
      <c r="L47" s="65"/>
      <c r="M47" s="472"/>
      <c r="N47" s="472"/>
    </row>
    <row r="48" spans="2:14" x14ac:dyDescent="0.3">
      <c r="B48" s="61"/>
      <c r="C48" s="122"/>
      <c r="D48" s="472" t="s">
        <v>514</v>
      </c>
      <c r="E48" s="123"/>
      <c r="F48" s="843"/>
      <c r="G48" s="843"/>
      <c r="H48" s="843"/>
      <c r="I48" s="843"/>
      <c r="J48" s="843"/>
      <c r="K48" s="843"/>
      <c r="L48" s="65"/>
      <c r="M48" s="472"/>
      <c r="N48" s="472"/>
    </row>
    <row r="49" spans="2:14" x14ac:dyDescent="0.3">
      <c r="B49" s="61"/>
      <c r="C49" s="122"/>
      <c r="D49" s="472" t="s">
        <v>515</v>
      </c>
      <c r="E49" s="123"/>
      <c r="F49" s="843"/>
      <c r="G49" s="843"/>
      <c r="H49" s="843"/>
      <c r="I49" s="843"/>
      <c r="J49" s="843"/>
      <c r="K49" s="843"/>
      <c r="L49" s="65"/>
      <c r="M49" s="472"/>
      <c r="N49" s="472"/>
    </row>
    <row r="50" spans="2:14" x14ac:dyDescent="0.3">
      <c r="B50" s="61"/>
      <c r="C50" s="122"/>
      <c r="D50" s="472" t="s">
        <v>23</v>
      </c>
      <c r="E50" s="123"/>
      <c r="F50" s="843"/>
      <c r="G50" s="843"/>
      <c r="H50" s="843"/>
      <c r="I50" s="843"/>
      <c r="J50" s="843"/>
      <c r="K50" s="843"/>
      <c r="L50" s="65"/>
      <c r="M50" s="472"/>
      <c r="N50" s="472"/>
    </row>
    <row r="51" spans="2:14" x14ac:dyDescent="0.3">
      <c r="B51" s="61"/>
      <c r="C51" s="122"/>
      <c r="D51" s="588" t="s">
        <v>24</v>
      </c>
      <c r="E51" s="123"/>
      <c r="F51" s="843"/>
      <c r="G51" s="843"/>
      <c r="H51" s="843"/>
      <c r="I51" s="843"/>
      <c r="J51" s="843"/>
      <c r="K51" s="843"/>
      <c r="L51" s="65"/>
      <c r="M51" s="588"/>
      <c r="N51" s="588"/>
    </row>
    <row r="52" spans="2:14" x14ac:dyDescent="0.3">
      <c r="B52" s="61"/>
      <c r="C52" s="122"/>
      <c r="D52" s="588" t="s">
        <v>25</v>
      </c>
      <c r="E52" s="123"/>
      <c r="F52" s="843"/>
      <c r="G52" s="843"/>
      <c r="H52" s="843"/>
      <c r="I52" s="843"/>
      <c r="J52" s="843"/>
      <c r="K52" s="843"/>
      <c r="L52" s="65"/>
      <c r="M52" s="588"/>
      <c r="N52" s="588"/>
    </row>
    <row r="53" spans="2:14" x14ac:dyDescent="0.3">
      <c r="B53" s="61"/>
      <c r="C53" s="122"/>
      <c r="D53" s="588" t="s">
        <v>516</v>
      </c>
      <c r="E53" s="123"/>
      <c r="F53" s="843"/>
      <c r="G53" s="843"/>
      <c r="H53" s="843"/>
      <c r="I53" s="843"/>
      <c r="J53" s="843"/>
      <c r="K53" s="843"/>
      <c r="L53" s="65"/>
      <c r="M53" s="588"/>
      <c r="N53" s="588"/>
    </row>
    <row r="54" spans="2:14" x14ac:dyDescent="0.3">
      <c r="B54" s="61"/>
      <c r="C54" s="122"/>
      <c r="D54" s="1141" t="s">
        <v>517</v>
      </c>
      <c r="E54" s="123"/>
      <c r="F54" s="843"/>
      <c r="G54" s="843"/>
      <c r="H54" s="843"/>
      <c r="I54" s="843"/>
      <c r="J54" s="843"/>
      <c r="K54" s="843"/>
      <c r="L54" s="65"/>
      <c r="M54" s="588"/>
      <c r="N54" s="1141"/>
    </row>
    <row r="55" spans="2:14" x14ac:dyDescent="0.3">
      <c r="B55" s="61"/>
      <c r="C55" s="122"/>
      <c r="D55" s="1141" t="s">
        <v>518</v>
      </c>
      <c r="E55" s="123"/>
      <c r="F55" s="843"/>
      <c r="G55" s="843"/>
      <c r="H55" s="843"/>
      <c r="I55" s="843"/>
      <c r="J55" s="843"/>
      <c r="K55" s="843"/>
      <c r="L55" s="65"/>
      <c r="M55" s="588"/>
      <c r="N55" s="1141"/>
    </row>
    <row r="56" spans="2:14" x14ac:dyDescent="0.3">
      <c r="B56" s="61"/>
      <c r="C56" s="122"/>
      <c r="D56" s="472" t="s">
        <v>519</v>
      </c>
      <c r="E56" s="123"/>
      <c r="F56" s="844">
        <f>ken!G35</f>
        <v>14451.769037572836</v>
      </c>
      <c r="G56" s="844">
        <f>ken!H35</f>
        <v>14964.737793851718</v>
      </c>
      <c r="H56" s="844">
        <f>ken!I35</f>
        <v>15420.814948764317</v>
      </c>
      <c r="I56" s="844">
        <f>ken!J35</f>
        <v>15885.599758890899</v>
      </c>
      <c r="J56" s="844">
        <f>ken!L35</f>
        <v>0</v>
      </c>
      <c r="K56" s="844">
        <f>ken!M35</f>
        <v>0</v>
      </c>
      <c r="L56" s="65"/>
      <c r="M56" s="472"/>
      <c r="N56" s="472"/>
    </row>
    <row r="57" spans="2:14" x14ac:dyDescent="0.3">
      <c r="B57" s="61"/>
      <c r="C57" s="122"/>
      <c r="D57" s="472" t="s">
        <v>106</v>
      </c>
      <c r="E57" s="123"/>
      <c r="F57" s="844">
        <f>+pers!J165</f>
        <v>0</v>
      </c>
      <c r="G57" s="844">
        <f>+pers!K165</f>
        <v>0</v>
      </c>
      <c r="H57" s="844">
        <f>+pers!L165</f>
        <v>0</v>
      </c>
      <c r="I57" s="844">
        <f>+pers!M165</f>
        <v>0</v>
      </c>
      <c r="J57" s="844">
        <f>+pers!N165</f>
        <v>0</v>
      </c>
      <c r="K57" s="844">
        <f>+pers!O165</f>
        <v>0</v>
      </c>
      <c r="L57" s="65"/>
      <c r="M57" s="472"/>
      <c r="N57" s="472"/>
    </row>
    <row r="58" spans="2:14" x14ac:dyDescent="0.3">
      <c r="B58" s="61"/>
      <c r="C58" s="122"/>
      <c r="D58" s="123" t="s">
        <v>105</v>
      </c>
      <c r="E58" s="123"/>
      <c r="F58" s="844">
        <f>+pers!J166</f>
        <v>0</v>
      </c>
      <c r="G58" s="844">
        <f>+pers!K166</f>
        <v>0</v>
      </c>
      <c r="H58" s="844">
        <f>+pers!L166</f>
        <v>0</v>
      </c>
      <c r="I58" s="844">
        <f>+pers!M166</f>
        <v>0</v>
      </c>
      <c r="J58" s="844">
        <f>+pers!N166</f>
        <v>0</v>
      </c>
      <c r="K58" s="844">
        <f>+pers!O166</f>
        <v>0</v>
      </c>
      <c r="L58" s="65"/>
      <c r="M58" s="123"/>
      <c r="N58" s="123"/>
    </row>
    <row r="59" spans="2:14" x14ac:dyDescent="0.3">
      <c r="B59" s="61"/>
      <c r="C59" s="122"/>
      <c r="D59" s="484" t="s">
        <v>376</v>
      </c>
      <c r="E59" s="123"/>
      <c r="F59" s="845">
        <f>7/12*ken!G56+5/12*ken!H56</f>
        <v>1</v>
      </c>
      <c r="G59" s="845">
        <f>7/12*ken!H56+5/12*ken!I56</f>
        <v>1</v>
      </c>
      <c r="H59" s="845">
        <f>7/12*ken!I56+5/12*ken!J56</f>
        <v>1</v>
      </c>
      <c r="I59" s="845">
        <f>ken!J56</f>
        <v>1</v>
      </c>
      <c r="J59" s="845">
        <f>ken!L56</f>
        <v>0</v>
      </c>
      <c r="K59" s="845">
        <f>ken!M56</f>
        <v>0</v>
      </c>
      <c r="L59" s="65"/>
      <c r="M59" s="484"/>
      <c r="N59" s="484"/>
    </row>
    <row r="60" spans="2:14" x14ac:dyDescent="0.3">
      <c r="B60" s="61"/>
      <c r="C60" s="122"/>
      <c r="D60" s="484" t="s">
        <v>0</v>
      </c>
      <c r="E60" s="123"/>
      <c r="F60" s="845">
        <f>7/12*ken!G57+5/12*ken!H57</f>
        <v>1</v>
      </c>
      <c r="G60" s="845">
        <f>7/12*ken!H57+5/12*ken!I57</f>
        <v>1</v>
      </c>
      <c r="H60" s="845">
        <f>7/12*ken!I57+5/12*ken!J57</f>
        <v>1</v>
      </c>
      <c r="I60" s="845">
        <f>ken!J57</f>
        <v>1</v>
      </c>
      <c r="J60" s="845">
        <f>ken!L57</f>
        <v>0</v>
      </c>
      <c r="K60" s="845">
        <f>ken!M57</f>
        <v>0</v>
      </c>
      <c r="L60" s="65"/>
      <c r="M60" s="484"/>
      <c r="N60" s="484"/>
    </row>
    <row r="61" spans="2:14" x14ac:dyDescent="0.3">
      <c r="B61" s="61"/>
      <c r="C61" s="122"/>
      <c r="D61" s="484" t="s">
        <v>520</v>
      </c>
      <c r="E61" s="123"/>
      <c r="F61" s="845">
        <f>7/12*ken!G58+5/12*ken!H58</f>
        <v>1</v>
      </c>
      <c r="G61" s="845">
        <f>7/12*ken!H58+5/12*ken!I58</f>
        <v>1</v>
      </c>
      <c r="H61" s="845">
        <f>7/12*ken!I58+5/12*ken!J58</f>
        <v>1</v>
      </c>
      <c r="I61" s="845">
        <f>ken!J58</f>
        <v>1</v>
      </c>
      <c r="J61" s="845">
        <f>ken!L58</f>
        <v>0</v>
      </c>
      <c r="K61" s="845">
        <f>ken!M58</f>
        <v>0</v>
      </c>
      <c r="L61" s="65"/>
      <c r="M61" s="484"/>
      <c r="N61" s="484"/>
    </row>
    <row r="62" spans="2:14" x14ac:dyDescent="0.3">
      <c r="B62" s="61"/>
      <c r="C62" s="122"/>
      <c r="D62" s="123" t="s">
        <v>364</v>
      </c>
      <c r="E62" s="123"/>
      <c r="F62" s="844">
        <f>begr!G49</f>
        <v>0</v>
      </c>
      <c r="G62" s="844">
        <f>begr!H49</f>
        <v>0</v>
      </c>
      <c r="H62" s="844">
        <f>begr!I49</f>
        <v>0</v>
      </c>
      <c r="I62" s="844">
        <f>begr!J49</f>
        <v>0</v>
      </c>
      <c r="J62" s="844">
        <f>begr!K49</f>
        <v>0</v>
      </c>
      <c r="K62" s="844">
        <f>begr!L49</f>
        <v>0</v>
      </c>
      <c r="L62" s="65"/>
      <c r="M62" s="123"/>
      <c r="N62" s="123"/>
    </row>
    <row r="63" spans="2:14" x14ac:dyDescent="0.3">
      <c r="B63" s="61"/>
      <c r="C63" s="122"/>
      <c r="D63" s="123" t="s">
        <v>365</v>
      </c>
      <c r="E63" s="123"/>
      <c r="F63" s="844">
        <f>begr!G50</f>
        <v>0</v>
      </c>
      <c r="G63" s="844">
        <f>begr!H50</f>
        <v>0</v>
      </c>
      <c r="H63" s="844">
        <f>begr!I50</f>
        <v>0</v>
      </c>
      <c r="I63" s="844">
        <f>begr!J50</f>
        <v>0</v>
      </c>
      <c r="J63" s="844">
        <f>begr!K50</f>
        <v>0</v>
      </c>
      <c r="K63" s="844">
        <f>begr!L50</f>
        <v>0</v>
      </c>
      <c r="L63" s="65"/>
      <c r="M63" s="123"/>
      <c r="N63" s="123"/>
    </row>
    <row r="64" spans="2:14" x14ac:dyDescent="0.3">
      <c r="B64" s="61"/>
      <c r="C64" s="122"/>
      <c r="D64" s="472" t="s">
        <v>256</v>
      </c>
      <c r="E64" s="123"/>
      <c r="F64" s="844">
        <f>act!G29</f>
        <v>0</v>
      </c>
      <c r="G64" s="844">
        <f>act!H29</f>
        <v>0</v>
      </c>
      <c r="H64" s="844">
        <f>act!I29</f>
        <v>218750</v>
      </c>
      <c r="I64" s="844">
        <f>act!J29</f>
        <v>0</v>
      </c>
      <c r="J64" s="844">
        <f>act!K29</f>
        <v>0</v>
      </c>
      <c r="K64" s="844">
        <f>act!L29</f>
        <v>0</v>
      </c>
      <c r="L64" s="65"/>
      <c r="M64" s="472"/>
      <c r="N64" s="472"/>
    </row>
    <row r="65" spans="2:14" x14ac:dyDescent="0.3">
      <c r="B65" s="61"/>
      <c r="C65" s="122"/>
      <c r="D65" s="472" t="s">
        <v>257</v>
      </c>
      <c r="E65" s="123"/>
      <c r="F65" s="844">
        <f>mop!G18</f>
        <v>0</v>
      </c>
      <c r="G65" s="844">
        <f>mop!H18</f>
        <v>0</v>
      </c>
      <c r="H65" s="844">
        <f>mop!I18</f>
        <v>0</v>
      </c>
      <c r="I65" s="844">
        <f>mop!J18</f>
        <v>0</v>
      </c>
      <c r="J65" s="844">
        <f>mop!K18</f>
        <v>0</v>
      </c>
      <c r="K65" s="844">
        <f>mop!L18</f>
        <v>0</v>
      </c>
      <c r="L65" s="65"/>
      <c r="M65" s="472"/>
      <c r="N65" s="472"/>
    </row>
    <row r="66" spans="2:14" x14ac:dyDescent="0.3">
      <c r="B66" s="61"/>
      <c r="C66" s="122"/>
      <c r="D66" s="472" t="s">
        <v>281</v>
      </c>
      <c r="E66" s="123"/>
      <c r="F66" s="844">
        <f>ken!G32</f>
        <v>1707225.2481840667</v>
      </c>
      <c r="G66" s="844">
        <f>ken!H32</f>
        <v>1652564.9736050002</v>
      </c>
      <c r="H66" s="844">
        <f>ken!I32</f>
        <v>1664523.2045449999</v>
      </c>
      <c r="I66" s="844">
        <f>ken!J32</f>
        <v>1676481.4354849998</v>
      </c>
      <c r="J66" s="844">
        <f>ken!L32</f>
        <v>0</v>
      </c>
      <c r="K66" s="844">
        <f>ken!M32</f>
        <v>0</v>
      </c>
      <c r="L66" s="65"/>
      <c r="M66" s="472"/>
      <c r="N66" s="472"/>
    </row>
    <row r="67" spans="2:14" x14ac:dyDescent="0.3">
      <c r="B67" s="61"/>
      <c r="C67" s="122"/>
      <c r="D67" s="472" t="s">
        <v>474</v>
      </c>
      <c r="E67" s="123"/>
      <c r="F67" s="844">
        <f>pers!I169+mat!I38</f>
        <v>354568.41111793334</v>
      </c>
      <c r="G67" s="844">
        <f>pers!J169+mat!J38</f>
        <v>363981.41066560009</v>
      </c>
      <c r="H67" s="844">
        <f>pers!K169+mat!K38</f>
        <v>386769.09816560009</v>
      </c>
      <c r="I67" s="844">
        <f>pers!L169+mat!L38</f>
        <v>386769.09816560009</v>
      </c>
      <c r="J67" s="844">
        <f>pers!M169+mat!M38</f>
        <v>386769.09816560009</v>
      </c>
      <c r="K67" s="844">
        <f>pers!N169+mat!N38</f>
        <v>386561.09816560009</v>
      </c>
      <c r="L67" s="65"/>
      <c r="M67" s="472"/>
      <c r="N67" s="472"/>
    </row>
    <row r="68" spans="2:14" x14ac:dyDescent="0.3">
      <c r="B68" s="61"/>
      <c r="C68" s="447"/>
      <c r="D68" s="478"/>
      <c r="E68" s="448"/>
      <c r="F68" s="448"/>
      <c r="G68" s="589"/>
      <c r="H68" s="448"/>
      <c r="I68" s="448"/>
      <c r="J68" s="448"/>
      <c r="K68" s="448"/>
      <c r="L68" s="65"/>
    </row>
    <row r="69" spans="2:14" x14ac:dyDescent="0.3">
      <c r="B69" s="61"/>
      <c r="C69" s="62"/>
      <c r="D69" s="62"/>
      <c r="E69" s="62"/>
      <c r="F69" s="62"/>
      <c r="G69" s="586"/>
      <c r="H69" s="62"/>
      <c r="I69" s="62"/>
      <c r="J69" s="62"/>
      <c r="K69" s="62"/>
      <c r="L69" s="65"/>
    </row>
    <row r="70" spans="2:14" x14ac:dyDescent="0.3">
      <c r="B70" s="80"/>
      <c r="C70" s="81"/>
      <c r="D70" s="81"/>
      <c r="E70" s="81"/>
      <c r="F70" s="81"/>
      <c r="G70" s="587"/>
      <c r="H70" s="81"/>
      <c r="I70" s="81"/>
      <c r="J70" s="81"/>
      <c r="K70" s="81"/>
      <c r="L70" s="84"/>
    </row>
    <row r="71" spans="2:14" x14ac:dyDescent="0.3">
      <c r="H71" s="272"/>
    </row>
    <row r="72" spans="2:14" x14ac:dyDescent="0.3">
      <c r="H72" s="272"/>
    </row>
    <row r="73" spans="2:14" x14ac:dyDescent="0.3">
      <c r="H73" s="272"/>
    </row>
    <row r="74" spans="2:14" x14ac:dyDescent="0.3">
      <c r="H74" s="272"/>
    </row>
    <row r="75" spans="2:14" x14ac:dyDescent="0.3">
      <c r="H75" s="272"/>
    </row>
    <row r="76" spans="2:14" x14ac:dyDescent="0.3">
      <c r="H76" s="272"/>
    </row>
    <row r="77" spans="2:14" x14ac:dyDescent="0.3">
      <c r="H77" s="272"/>
    </row>
    <row r="78" spans="2:14" x14ac:dyDescent="0.3">
      <c r="H78" s="272"/>
    </row>
    <row r="79" spans="2:14" x14ac:dyDescent="0.3">
      <c r="H79" s="272"/>
    </row>
    <row r="80" spans="2:14" x14ac:dyDescent="0.3">
      <c r="H80" s="272"/>
    </row>
    <row r="81" spans="8:8" x14ac:dyDescent="0.3">
      <c r="H81" s="272"/>
    </row>
    <row r="82" spans="8:8" x14ac:dyDescent="0.3">
      <c r="H82" s="272"/>
    </row>
    <row r="83" spans="8:8" x14ac:dyDescent="0.3">
      <c r="H83" s="272"/>
    </row>
    <row r="84" spans="8:8" x14ac:dyDescent="0.3">
      <c r="H84" s="272"/>
    </row>
    <row r="85" spans="8:8" x14ac:dyDescent="0.3">
      <c r="H85" s="272"/>
    </row>
    <row r="86" spans="8:8" x14ac:dyDescent="0.3">
      <c r="H86" s="272"/>
    </row>
    <row r="87" spans="8:8" x14ac:dyDescent="0.3">
      <c r="H87" s="272"/>
    </row>
    <row r="88" spans="8:8" x14ac:dyDescent="0.3">
      <c r="H88" s="272"/>
    </row>
    <row r="89" spans="8:8" x14ac:dyDescent="0.3">
      <c r="H89" s="272"/>
    </row>
    <row r="90" spans="8:8" x14ac:dyDescent="0.3">
      <c r="H90" s="272"/>
    </row>
    <row r="91" spans="8:8" x14ac:dyDescent="0.3">
      <c r="H91" s="272"/>
    </row>
    <row r="92" spans="8:8" x14ac:dyDescent="0.3">
      <c r="H92" s="272"/>
    </row>
    <row r="93" spans="8:8" x14ac:dyDescent="0.3">
      <c r="H93" s="272"/>
    </row>
    <row r="94" spans="8:8" x14ac:dyDescent="0.3">
      <c r="H94" s="272"/>
    </row>
    <row r="95" spans="8:8" x14ac:dyDescent="0.3">
      <c r="H95" s="272"/>
    </row>
    <row r="96" spans="8:8" x14ac:dyDescent="0.3">
      <c r="H96" s="272"/>
    </row>
    <row r="97" spans="8:8" x14ac:dyDescent="0.3">
      <c r="H97" s="272"/>
    </row>
    <row r="98" spans="8:8" x14ac:dyDescent="0.3">
      <c r="H98" s="272"/>
    </row>
    <row r="99" spans="8:8" x14ac:dyDescent="0.3">
      <c r="H99" s="272"/>
    </row>
    <row r="100" spans="8:8" x14ac:dyDescent="0.3">
      <c r="H100" s="272"/>
    </row>
    <row r="101" spans="8:8" x14ac:dyDescent="0.3">
      <c r="H101" s="272"/>
    </row>
    <row r="102" spans="8:8" x14ac:dyDescent="0.3">
      <c r="H102" s="272"/>
    </row>
    <row r="103" spans="8:8" x14ac:dyDescent="0.3">
      <c r="H103" s="272"/>
    </row>
    <row r="104" spans="8:8" x14ac:dyDescent="0.3">
      <c r="H104" s="272"/>
    </row>
    <row r="105" spans="8:8" x14ac:dyDescent="0.3">
      <c r="H105" s="272"/>
    </row>
    <row r="106" spans="8:8" x14ac:dyDescent="0.3">
      <c r="H106" s="272"/>
    </row>
    <row r="107" spans="8:8" x14ac:dyDescent="0.3">
      <c r="H107" s="272"/>
    </row>
    <row r="108" spans="8:8" x14ac:dyDescent="0.3">
      <c r="H108" s="272"/>
    </row>
    <row r="109" spans="8:8" x14ac:dyDescent="0.3">
      <c r="H109" s="272"/>
    </row>
    <row r="110" spans="8:8" x14ac:dyDescent="0.3">
      <c r="H110" s="272"/>
    </row>
  </sheetData>
  <sheetProtection algorithmName="SHA-512" hashValue="M5dLmeQD52PyFd1VNImXtBidfPGHL3r14AuYxhPK03O8JTLsMxNgP+tNmxCmTSJMjk49u1iwKVXRJonPPGL2Aw==" saltValue="WxXxu41W6OmaaApdfxDlWw=="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1"/>
  <dimension ref="A1:Q227"/>
  <sheetViews>
    <sheetView zoomScale="85" zoomScaleNormal="85" zoomScaleSheetLayoutView="50" workbookViewId="0">
      <pane ySplit="6" topLeftCell="A31" activePane="bottomLeft" state="frozen"/>
      <selection activeCell="B2" sqref="B2"/>
      <selection pane="bottomLeft" activeCell="C50" sqref="C50"/>
    </sheetView>
  </sheetViews>
  <sheetFormatPr defaultColWidth="9.109375" defaultRowHeight="12.75" customHeight="1" x14ac:dyDescent="0.3"/>
  <cols>
    <col min="1" max="1" width="43.6640625" style="23" customWidth="1"/>
    <col min="2" max="2" width="14.6640625" style="822" customWidth="1"/>
    <col min="3" max="8" width="14.6640625" style="23" customWidth="1"/>
    <col min="9" max="27" width="14.6640625" style="20" customWidth="1"/>
    <col min="28" max="16384" width="9.109375" style="20"/>
  </cols>
  <sheetData>
    <row r="1" spans="1:9" ht="12.75" customHeight="1" x14ac:dyDescent="0.3">
      <c r="B1" s="23"/>
      <c r="G1" s="20"/>
      <c r="H1" s="20"/>
    </row>
    <row r="2" spans="1:9" s="2" customFormat="1" ht="13.8" x14ac:dyDescent="0.3">
      <c r="A2" s="3" t="s">
        <v>180</v>
      </c>
      <c r="B2" s="795" t="s">
        <v>521</v>
      </c>
      <c r="C2" s="795" t="s">
        <v>551</v>
      </c>
      <c r="D2" s="795" t="s">
        <v>556</v>
      </c>
      <c r="E2" s="795" t="s">
        <v>568</v>
      </c>
      <c r="F2" s="795" t="s">
        <v>572</v>
      </c>
      <c r="G2" s="795" t="s">
        <v>595</v>
      </c>
      <c r="H2" s="795" t="s">
        <v>618</v>
      </c>
    </row>
    <row r="3" spans="1:9" s="2" customFormat="1" ht="13.8" x14ac:dyDescent="0.3">
      <c r="A3" s="3" t="s">
        <v>227</v>
      </c>
      <c r="B3" s="796">
        <v>43739</v>
      </c>
      <c r="C3" s="796">
        <v>44105</v>
      </c>
      <c r="D3" s="796">
        <v>44470</v>
      </c>
      <c r="E3" s="796">
        <v>44835</v>
      </c>
      <c r="F3" s="796">
        <v>45200</v>
      </c>
      <c r="G3" s="796">
        <v>45566</v>
      </c>
      <c r="H3" s="796">
        <v>45931</v>
      </c>
      <c r="I3" s="1303">
        <v>46296</v>
      </c>
    </row>
    <row r="4" spans="1:9" s="2" customFormat="1" ht="13.8" x14ac:dyDescent="0.3">
      <c r="A4" s="3" t="s">
        <v>241</v>
      </c>
      <c r="B4" s="795">
        <v>2020</v>
      </c>
      <c r="C4" s="795">
        <f t="shared" ref="C4" si="0">B4+1</f>
        <v>2021</v>
      </c>
      <c r="D4" s="795">
        <f t="shared" ref="D4" si="1">C4+1</f>
        <v>2022</v>
      </c>
      <c r="E4" s="795">
        <f t="shared" ref="E4" si="2">D4+1</f>
        <v>2023</v>
      </c>
      <c r="F4" s="795">
        <f t="shared" ref="F4:H4" si="3">E4+1</f>
        <v>2024</v>
      </c>
      <c r="G4" s="795">
        <f t="shared" si="3"/>
        <v>2025</v>
      </c>
      <c r="H4" s="795">
        <f t="shared" si="3"/>
        <v>2026</v>
      </c>
    </row>
    <row r="5" spans="1:9" s="21" customFormat="1" ht="13.8" x14ac:dyDescent="0.3"/>
    <row r="6" spans="1:9" ht="12.75" customHeight="1" x14ac:dyDescent="0.3">
      <c r="B6" s="23"/>
      <c r="G6" s="20"/>
      <c r="H6" s="20"/>
    </row>
    <row r="7" spans="1:9" ht="12.75" customHeight="1" x14ac:dyDescent="0.3">
      <c r="A7" s="763" t="s">
        <v>577</v>
      </c>
      <c r="B7" s="23"/>
      <c r="G7" s="20"/>
      <c r="H7" s="20"/>
    </row>
    <row r="8" spans="1:9" s="2" customFormat="1" ht="13.8" x14ac:dyDescent="0.3">
      <c r="A8" s="1026" t="s">
        <v>347</v>
      </c>
      <c r="B8" s="6"/>
      <c r="C8" s="6"/>
      <c r="D8" s="6"/>
      <c r="E8" s="6"/>
      <c r="F8" s="6"/>
    </row>
    <row r="9" spans="1:9" s="2" customFormat="1" ht="13.8" x14ac:dyDescent="0.3">
      <c r="A9" s="3" t="s">
        <v>316</v>
      </c>
      <c r="B9" s="3">
        <v>4.5199999999999997E-2</v>
      </c>
      <c r="C9" s="3">
        <v>4.5199999999999997E-2</v>
      </c>
      <c r="D9" s="4"/>
      <c r="E9" s="3"/>
    </row>
    <row r="10" spans="1:9" s="2" customFormat="1" ht="13.8" x14ac:dyDescent="0.3">
      <c r="A10" s="3" t="s">
        <v>317</v>
      </c>
      <c r="B10" s="3">
        <v>6.4600000000000005E-2</v>
      </c>
      <c r="C10" s="3">
        <v>6.4600000000000005E-2</v>
      </c>
      <c r="D10" s="4"/>
      <c r="E10" s="3"/>
    </row>
    <row r="11" spans="1:9" s="2" customFormat="1" ht="13.8" x14ac:dyDescent="0.3">
      <c r="A11" s="3" t="s">
        <v>318</v>
      </c>
      <c r="B11" s="3">
        <v>4.0099999999999997E-2</v>
      </c>
      <c r="C11" s="3">
        <v>4.0099999999999997E-2</v>
      </c>
      <c r="D11" s="4"/>
      <c r="E11" s="3"/>
    </row>
    <row r="12" spans="1:9" ht="13.8" x14ac:dyDescent="0.3">
      <c r="A12" s="22"/>
      <c r="B12" s="24"/>
      <c r="C12" s="24"/>
      <c r="D12" s="24"/>
      <c r="E12" s="793"/>
      <c r="F12" s="20"/>
      <c r="G12" s="20"/>
      <c r="H12" s="20"/>
    </row>
    <row r="13" spans="1:9" s="2" customFormat="1" ht="13.8" x14ac:dyDescent="0.3">
      <c r="A13" s="1" t="s">
        <v>582</v>
      </c>
      <c r="B13" s="3"/>
      <c r="C13" s="3"/>
      <c r="D13" s="3"/>
    </row>
    <row r="14" spans="1:9" s="2" customFormat="1" ht="13.8" x14ac:dyDescent="0.3">
      <c r="A14" s="3" t="s">
        <v>198</v>
      </c>
      <c r="B14" s="1283">
        <v>40.880000000000003</v>
      </c>
      <c r="C14" s="1280">
        <v>40.74</v>
      </c>
      <c r="D14" s="3"/>
    </row>
    <row r="15" spans="1:9" s="2" customFormat="1" ht="13.8" x14ac:dyDescent="0.3">
      <c r="A15" s="3" t="s">
        <v>199</v>
      </c>
      <c r="B15" s="1242">
        <v>80082.09</v>
      </c>
      <c r="C15" s="1281">
        <v>80664.289999999994</v>
      </c>
      <c r="D15" s="3"/>
    </row>
    <row r="16" spans="1:9" s="2" customFormat="1" ht="13.8" x14ac:dyDescent="0.3">
      <c r="A16" s="3" t="s">
        <v>619</v>
      </c>
      <c r="B16" s="1242">
        <v>96888.02</v>
      </c>
      <c r="C16" s="1281">
        <v>97592.4</v>
      </c>
      <c r="D16" s="3"/>
    </row>
    <row r="17" spans="1:8" s="2" customFormat="1" ht="12.75" customHeight="1" x14ac:dyDescent="0.3">
      <c r="A17" s="3" t="s">
        <v>200</v>
      </c>
      <c r="B17" s="1242">
        <v>34463.51</v>
      </c>
      <c r="C17" s="1281">
        <v>34781.910000000003</v>
      </c>
    </row>
    <row r="18" spans="1:8" s="2" customFormat="1" ht="12.75" customHeight="1" x14ac:dyDescent="0.3">
      <c r="A18" s="3" t="s">
        <v>201</v>
      </c>
      <c r="B18" s="1242">
        <v>1115.9100000000001</v>
      </c>
      <c r="C18" s="1279">
        <v>1126.22</v>
      </c>
    </row>
    <row r="19" spans="1:8" s="2" customFormat="1" ht="13.8" x14ac:dyDescent="0.3">
      <c r="A19" s="762" t="s">
        <v>377</v>
      </c>
      <c r="B19" s="1242">
        <v>19660.93</v>
      </c>
      <c r="C19" s="1281">
        <v>19804.11</v>
      </c>
      <c r="D19" s="1205"/>
      <c r="E19" s="3"/>
    </row>
    <row r="20" spans="1:8" s="2" customFormat="1" ht="13.8" x14ac:dyDescent="0.3">
      <c r="A20" s="762" t="s">
        <v>378</v>
      </c>
      <c r="B20" s="1242">
        <v>36466.86</v>
      </c>
      <c r="C20" s="1281">
        <v>36732.22</v>
      </c>
      <c r="D20" s="3"/>
    </row>
    <row r="21" spans="1:8" ht="13.8" x14ac:dyDescent="0.3">
      <c r="A21" s="20"/>
      <c r="B21" s="1256">
        <f>B19-(B16-B15)</f>
        <v>2854.9999999999927</v>
      </c>
      <c r="C21" s="1256">
        <f>C19-(C16-C15)</f>
        <v>2876</v>
      </c>
      <c r="D21" s="793"/>
      <c r="E21" s="20"/>
      <c r="F21" s="20"/>
      <c r="G21" s="20"/>
      <c r="H21" s="20"/>
    </row>
    <row r="22" spans="1:8" s="2" customFormat="1" ht="13.8" x14ac:dyDescent="0.3">
      <c r="A22" s="3" t="s">
        <v>319</v>
      </c>
      <c r="B22" s="38">
        <f>ROUND(tab!B17*tab!B9,2)</f>
        <v>1557.75</v>
      </c>
      <c r="C22" s="38">
        <f>ROUND(tab!C17*tab!C9,2)</f>
        <v>1572.14</v>
      </c>
      <c r="D22" s="38"/>
    </row>
    <row r="23" spans="1:8" s="2" customFormat="1" ht="13.8" x14ac:dyDescent="0.3">
      <c r="A23" s="3" t="s">
        <v>157</v>
      </c>
      <c r="B23" s="38">
        <f>ROUND(tab!B9*tab!B18,2)</f>
        <v>50.44</v>
      </c>
      <c r="C23" s="38">
        <f>ROUND(tab!C9*tab!C18,2)</f>
        <v>50.91</v>
      </c>
      <c r="D23" s="38"/>
    </row>
    <row r="24" spans="1:8" s="2" customFormat="1" ht="13.8" x14ac:dyDescent="0.3">
      <c r="A24" s="3" t="s">
        <v>158</v>
      </c>
      <c r="B24" s="38">
        <f>ROUND(tab!B17*tab!B10,2)</f>
        <v>2226.34</v>
      </c>
      <c r="C24" s="38">
        <f>ROUND(tab!C17*tab!C10,2)</f>
        <v>2246.91</v>
      </c>
      <c r="D24" s="38"/>
    </row>
    <row r="25" spans="1:8" s="2" customFormat="1" ht="13.8" x14ac:dyDescent="0.3">
      <c r="A25" s="3" t="s">
        <v>159</v>
      </c>
      <c r="B25" s="38">
        <f>ROUND(tab!B10*tab!B18,2)</f>
        <v>72.09</v>
      </c>
      <c r="C25" s="38">
        <f>ROUND(tab!C10*tab!C18,2)</f>
        <v>72.75</v>
      </c>
      <c r="D25" s="38"/>
    </row>
    <row r="26" spans="1:8" s="2" customFormat="1" ht="13.8" x14ac:dyDescent="0.3">
      <c r="A26" s="3" t="s">
        <v>320</v>
      </c>
      <c r="B26" s="38">
        <f>ROUND(tab!B17*tab!B11,2)</f>
        <v>1381.99</v>
      </c>
      <c r="C26" s="38">
        <f>ROUND(tab!C17*tab!C11,2)</f>
        <v>1394.75</v>
      </c>
      <c r="D26" s="38"/>
    </row>
    <row r="27" spans="1:8" s="2" customFormat="1" ht="13.8" x14ac:dyDescent="0.3">
      <c r="A27" s="3" t="s">
        <v>160</v>
      </c>
      <c r="B27" s="38">
        <v>44.75</v>
      </c>
      <c r="C27" s="38">
        <f>ROUND(tab!C11*tab!C18,2)</f>
        <v>45.16</v>
      </c>
      <c r="D27" s="38"/>
    </row>
    <row r="28" spans="1:8" s="2" customFormat="1" ht="13.8" x14ac:dyDescent="0.3">
      <c r="A28" s="3" t="s">
        <v>220</v>
      </c>
      <c r="B28" s="39">
        <v>99</v>
      </c>
      <c r="C28" s="1276">
        <v>99</v>
      </c>
      <c r="D28" s="40"/>
    </row>
    <row r="29" spans="1:8" ht="13.8" x14ac:dyDescent="0.3">
      <c r="A29" s="793"/>
      <c r="B29" s="23"/>
      <c r="C29" s="1275"/>
      <c r="D29" s="20"/>
      <c r="E29" s="20"/>
      <c r="F29" s="20"/>
      <c r="G29" s="20"/>
      <c r="H29" s="20"/>
    </row>
    <row r="30" spans="1:8" ht="13.8" x14ac:dyDescent="0.3">
      <c r="A30" s="1" t="s">
        <v>469</v>
      </c>
      <c r="B30" s="23"/>
      <c r="C30" s="1275"/>
      <c r="D30" s="20"/>
      <c r="E30" s="20"/>
      <c r="F30" s="20"/>
      <c r="G30" s="20"/>
      <c r="H30" s="20"/>
    </row>
    <row r="31" spans="1:8" ht="13.8" x14ac:dyDescent="0.3">
      <c r="A31" s="3" t="s">
        <v>453</v>
      </c>
      <c r="B31" s="38">
        <f>ROUND(B9*B15,2)</f>
        <v>3619.71</v>
      </c>
      <c r="C31" s="38">
        <f>ROUND(C9*C15,2)</f>
        <v>3646.03</v>
      </c>
      <c r="D31" s="20"/>
      <c r="E31" s="20"/>
      <c r="F31" s="20"/>
      <c r="G31" s="20"/>
      <c r="H31" s="20"/>
    </row>
    <row r="32" spans="1:8" ht="13.8" x14ac:dyDescent="0.3">
      <c r="A32" s="3" t="s">
        <v>454</v>
      </c>
      <c r="B32" s="38">
        <f>ROUND(B10*B15,2)</f>
        <v>5173.3</v>
      </c>
      <c r="C32" s="38">
        <f>ROUND(C10*C15,2)</f>
        <v>5210.91</v>
      </c>
      <c r="D32" s="20"/>
      <c r="E32" s="20"/>
      <c r="F32" s="20"/>
      <c r="G32" s="20"/>
      <c r="H32" s="20"/>
    </row>
    <row r="33" spans="1:8" ht="13.8" x14ac:dyDescent="0.3">
      <c r="A33" s="3" t="s">
        <v>470</v>
      </c>
      <c r="B33" s="38">
        <f>ROUND(B11*B15,2)</f>
        <v>3211.29</v>
      </c>
      <c r="C33" s="38">
        <f>ROUND(C11*C15,2)</f>
        <v>3234.64</v>
      </c>
      <c r="D33" s="20"/>
      <c r="E33" s="20"/>
      <c r="F33" s="20"/>
      <c r="G33" s="20"/>
      <c r="H33" s="20"/>
    </row>
    <row r="34" spans="1:8" ht="13.8" x14ac:dyDescent="0.3">
      <c r="A34" s="3" t="s">
        <v>471</v>
      </c>
      <c r="B34" s="38">
        <f>B31+B32</f>
        <v>8793.01</v>
      </c>
      <c r="C34" s="38">
        <f>C31+C32</f>
        <v>8856.94</v>
      </c>
      <c r="D34" s="20"/>
      <c r="E34" s="20"/>
      <c r="F34" s="20"/>
      <c r="G34" s="20"/>
      <c r="H34" s="20"/>
    </row>
    <row r="35" spans="1:8" ht="13.8" x14ac:dyDescent="0.3">
      <c r="A35" s="829"/>
      <c r="B35" s="829"/>
      <c r="C35" s="1274"/>
      <c r="F35" s="20"/>
      <c r="G35" s="20"/>
      <c r="H35" s="20"/>
    </row>
    <row r="36" spans="1:8" ht="13.8" x14ac:dyDescent="0.3">
      <c r="A36" s="1140"/>
      <c r="B36" s="1140"/>
      <c r="C36" s="1274"/>
      <c r="F36" s="20"/>
      <c r="G36" s="20"/>
      <c r="H36" s="20"/>
    </row>
    <row r="37" spans="1:8" ht="13.8" x14ac:dyDescent="0.3">
      <c r="A37" s="1027" t="s">
        <v>183</v>
      </c>
      <c r="B37" s="23"/>
      <c r="C37" s="1275"/>
      <c r="D37" s="20"/>
      <c r="E37" s="20"/>
      <c r="F37" s="20"/>
      <c r="G37" s="20"/>
      <c r="H37" s="20"/>
    </row>
    <row r="38" spans="1:8" ht="13.8" x14ac:dyDescent="0.3">
      <c r="A38" s="4" t="s">
        <v>185</v>
      </c>
      <c r="B38" s="1284">
        <v>14676.37</v>
      </c>
      <c r="C38" s="1279">
        <v>14783.07</v>
      </c>
      <c r="D38" s="20"/>
      <c r="E38" s="20"/>
      <c r="F38" s="20"/>
      <c r="G38" s="20"/>
      <c r="H38" s="20"/>
    </row>
    <row r="39" spans="1:8" ht="13.8" x14ac:dyDescent="0.3">
      <c r="A39" s="3" t="s">
        <v>184</v>
      </c>
      <c r="B39" s="1284">
        <v>1195.22</v>
      </c>
      <c r="C39" s="1279">
        <v>1317.5</v>
      </c>
      <c r="D39" s="20"/>
      <c r="E39" s="20"/>
      <c r="F39" s="20"/>
      <c r="G39" s="20"/>
      <c r="H39" s="20"/>
    </row>
    <row r="40" spans="1:8" ht="13.8" x14ac:dyDescent="0.3">
      <c r="A40" s="3" t="s">
        <v>161</v>
      </c>
      <c r="B40" s="1284">
        <v>205.64</v>
      </c>
      <c r="C40" s="1279">
        <v>207.14</v>
      </c>
      <c r="D40" s="20"/>
      <c r="E40" s="20"/>
      <c r="F40" s="20"/>
      <c r="G40" s="20"/>
      <c r="H40" s="20"/>
    </row>
    <row r="41" spans="1:8" ht="13.8" x14ac:dyDescent="0.3">
      <c r="A41" s="1140"/>
      <c r="B41" s="1140"/>
      <c r="C41" s="1274"/>
      <c r="F41" s="20"/>
      <c r="G41" s="20"/>
      <c r="H41" s="20"/>
    </row>
    <row r="42" spans="1:8" s="2" customFormat="1" ht="13.8" x14ac:dyDescent="0.3">
      <c r="A42" s="3"/>
      <c r="B42" s="1285"/>
      <c r="C42" s="1272"/>
      <c r="D42" s="6"/>
      <c r="E42" s="6"/>
    </row>
    <row r="43" spans="1:8" ht="13.8" x14ac:dyDescent="0.3">
      <c r="A43" s="388"/>
      <c r="B43" s="1285"/>
      <c r="C43" s="1274"/>
      <c r="F43" s="20"/>
      <c r="G43" s="20"/>
      <c r="H43" s="20"/>
    </row>
    <row r="44" spans="1:8" ht="13.8" x14ac:dyDescent="0.3">
      <c r="A44" s="1273"/>
      <c r="B44" s="1272"/>
      <c r="C44" s="1274"/>
      <c r="F44" s="20"/>
      <c r="G44" s="20"/>
      <c r="H44" s="20"/>
    </row>
    <row r="45" spans="1:8" ht="13.8" x14ac:dyDescent="0.3">
      <c r="A45" s="1027" t="s">
        <v>432</v>
      </c>
      <c r="B45" s="23"/>
      <c r="C45" s="1275"/>
      <c r="D45" s="20"/>
      <c r="E45" s="20"/>
      <c r="F45" s="20"/>
      <c r="G45" s="20"/>
      <c r="H45" s="20"/>
    </row>
    <row r="46" spans="1:8" ht="13.8" x14ac:dyDescent="0.3">
      <c r="A46" s="794" t="s">
        <v>433</v>
      </c>
      <c r="B46" s="1284">
        <v>214.22</v>
      </c>
      <c r="C46" s="1284">
        <v>0</v>
      </c>
      <c r="D46" s="20"/>
      <c r="E46" s="20"/>
      <c r="F46" s="20"/>
      <c r="G46" s="20"/>
      <c r="H46" s="20"/>
    </row>
    <row r="47" spans="1:8" ht="13.8" x14ac:dyDescent="0.3">
      <c r="A47" s="794" t="s">
        <v>620</v>
      </c>
      <c r="B47" s="1277"/>
      <c r="C47" s="1291">
        <v>94.2</v>
      </c>
      <c r="D47" s="20"/>
      <c r="E47" s="20"/>
      <c r="F47" s="20"/>
      <c r="G47" s="20"/>
      <c r="H47" s="20"/>
    </row>
    <row r="48" spans="1:8" ht="12" customHeight="1" x14ac:dyDescent="0.3">
      <c r="A48" s="6" t="s">
        <v>626</v>
      </c>
      <c r="B48" s="1290">
        <v>92.3</v>
      </c>
      <c r="C48" s="1284"/>
      <c r="D48" s="20"/>
      <c r="E48" s="20"/>
      <c r="F48" s="20"/>
      <c r="G48" s="20"/>
      <c r="H48" s="20"/>
    </row>
    <row r="49" spans="1:17" ht="12" customHeight="1" x14ac:dyDescent="0.3">
      <c r="B49" s="23"/>
      <c r="C49" s="20"/>
      <c r="D49" s="20"/>
      <c r="E49" s="20"/>
      <c r="F49" s="20"/>
      <c r="G49" s="20"/>
      <c r="H49" s="20"/>
    </row>
    <row r="50" spans="1:17" s="2" customFormat="1" ht="12" customHeight="1" x14ac:dyDescent="0.3">
      <c r="A50" s="3" t="s">
        <v>286</v>
      </c>
      <c r="B50" s="1251">
        <v>0.6</v>
      </c>
      <c r="C50" s="1251">
        <v>0.6</v>
      </c>
      <c r="D50" s="6"/>
      <c r="E50" s="6" t="s">
        <v>476</v>
      </c>
      <c r="F50" s="869" t="s">
        <v>576</v>
      </c>
    </row>
    <row r="51" spans="1:17" s="2" customFormat="1" ht="12" customHeight="1" x14ac:dyDescent="0.3">
      <c r="A51" s="3" t="s">
        <v>485</v>
      </c>
      <c r="B51" s="42">
        <v>0.5</v>
      </c>
      <c r="C51" s="42">
        <v>0.5</v>
      </c>
      <c r="D51" s="6"/>
      <c r="E51" s="6"/>
      <c r="F51" s="6"/>
    </row>
    <row r="52" spans="1:17" s="2" customFormat="1" ht="12" customHeight="1" x14ac:dyDescent="0.3">
      <c r="A52" s="3" t="s">
        <v>487</v>
      </c>
      <c r="B52" s="41">
        <f>B50-B51</f>
        <v>9.9999999999999978E-2</v>
      </c>
      <c r="C52" s="41">
        <f>C50-C51</f>
        <v>9.9999999999999978E-2</v>
      </c>
      <c r="D52" s="1252">
        <f>(1+$C$50-C51)/(1+$C$50)</f>
        <v>0.6875</v>
      </c>
      <c r="E52" s="6"/>
      <c r="F52" s="6"/>
    </row>
    <row r="53" spans="1:17" s="2" customFormat="1" ht="12" customHeight="1" x14ac:dyDescent="0.3">
      <c r="A53" s="3" t="s">
        <v>286</v>
      </c>
      <c r="B53" s="42">
        <f>B50</f>
        <v>0.6</v>
      </c>
      <c r="C53" s="42">
        <f>C50</f>
        <v>0.6</v>
      </c>
      <c r="E53" s="6"/>
      <c r="F53" s="6"/>
    </row>
    <row r="54" spans="1:17" s="2" customFormat="1" ht="12" customHeight="1" x14ac:dyDescent="0.3">
      <c r="A54" s="3" t="s">
        <v>486</v>
      </c>
      <c r="B54" s="42">
        <v>0.4</v>
      </c>
      <c r="C54" s="42">
        <v>0.4</v>
      </c>
      <c r="D54" s="1252">
        <f>(1+$C$50-C54)/(1+$C$50)</f>
        <v>0.75000000000000011</v>
      </c>
      <c r="E54" s="6"/>
      <c r="F54" s="6"/>
    </row>
    <row r="55" spans="1:17" s="2" customFormat="1" ht="12" customHeight="1" x14ac:dyDescent="0.3">
      <c r="A55" s="3" t="s">
        <v>487</v>
      </c>
      <c r="B55" s="41">
        <f>B53-B54</f>
        <v>0.19999999999999996</v>
      </c>
      <c r="C55" s="41">
        <f>C53-C54</f>
        <v>0.19999999999999996</v>
      </c>
      <c r="D55" s="6"/>
      <c r="E55" s="6"/>
      <c r="F55" s="6"/>
    </row>
    <row r="56" spans="1:17" ht="12" customHeight="1" x14ac:dyDescent="0.3">
      <c r="H56" s="20"/>
    </row>
    <row r="57" spans="1:17" s="3" customFormat="1" ht="13.8" x14ac:dyDescent="0.3">
      <c r="A57" s="1" t="s">
        <v>186</v>
      </c>
      <c r="C57" s="765">
        <f>B4</f>
        <v>2020</v>
      </c>
      <c r="D57" s="20"/>
      <c r="H57" s="765">
        <f>C4</f>
        <v>2021</v>
      </c>
      <c r="I57" s="20"/>
      <c r="M57" s="765">
        <f>D4</f>
        <v>2022</v>
      </c>
      <c r="N57" s="20"/>
    </row>
    <row r="58" spans="1:17" s="2" customFormat="1" ht="12.75" customHeight="1" x14ac:dyDescent="0.3">
      <c r="A58" s="6"/>
      <c r="C58" s="764" t="s">
        <v>434</v>
      </c>
      <c r="D58" s="769">
        <v>1.6E-2</v>
      </c>
      <c r="H58" s="764" t="s">
        <v>434</v>
      </c>
      <c r="I58" s="1286">
        <v>1.2E-2</v>
      </c>
      <c r="M58" s="764" t="s">
        <v>434</v>
      </c>
      <c r="N58" s="1243">
        <v>3.0099999999999998E-2</v>
      </c>
    </row>
    <row r="59" spans="1:17" s="2" customFormat="1" ht="13.8" x14ac:dyDescent="0.3">
      <c r="A59" s="3" t="s">
        <v>298</v>
      </c>
      <c r="C59" s="38">
        <v>13951.59</v>
      </c>
      <c r="D59" s="38">
        <v>337.87</v>
      </c>
      <c r="H59" s="1242">
        <v>14344.83</v>
      </c>
      <c r="I59" s="1242">
        <v>347.33</v>
      </c>
      <c r="M59" s="1241">
        <f>ROUND(H59*(1+$N$58),2)+0.02</f>
        <v>14776.630000000001</v>
      </c>
      <c r="N59" s="1241">
        <f>ROUND(I59*(1+$N$58),2)-0.01</f>
        <v>357.77</v>
      </c>
    </row>
    <row r="60" spans="1:17" s="2" customFormat="1" ht="13.8" x14ac:dyDescent="0.3">
      <c r="A60" s="3" t="s">
        <v>379</v>
      </c>
      <c r="C60" s="38">
        <v>115.59</v>
      </c>
      <c r="D60" s="38">
        <v>20.71</v>
      </c>
      <c r="H60" s="1242">
        <f t="shared" ref="H60:I60" si="4">ROUND(C60*(1+$I$58),2)</f>
        <v>116.98</v>
      </c>
      <c r="I60" s="1242">
        <f t="shared" si="4"/>
        <v>20.96</v>
      </c>
      <c r="M60" s="1241">
        <v>122.43</v>
      </c>
      <c r="N60" s="1241">
        <v>21.93</v>
      </c>
    </row>
    <row r="61" spans="1:17" s="2" customFormat="1" ht="13.8" x14ac:dyDescent="0.3">
      <c r="A61" s="3" t="s">
        <v>380</v>
      </c>
      <c r="C61" s="38">
        <v>0</v>
      </c>
      <c r="D61" s="38">
        <v>232.62</v>
      </c>
      <c r="F61" s="1177"/>
      <c r="H61" s="1242">
        <v>0</v>
      </c>
      <c r="I61" s="1242">
        <v>239.18</v>
      </c>
      <c r="K61" s="1177"/>
      <c r="M61" s="1242">
        <v>0</v>
      </c>
      <c r="N61" s="1241">
        <f>ROUND(I61*(1+$N$58),2)</f>
        <v>246.38</v>
      </c>
      <c r="P61" s="1177"/>
    </row>
    <row r="62" spans="1:17" s="6" customFormat="1" ht="13.8" x14ac:dyDescent="0.3">
      <c r="A62" s="3"/>
      <c r="B62" s="38"/>
      <c r="C62" s="38"/>
      <c r="D62" s="38"/>
      <c r="H62" s="38"/>
      <c r="I62" s="38"/>
      <c r="M62" s="38"/>
      <c r="N62" s="38"/>
    </row>
    <row r="63" spans="1:17" s="2" customFormat="1" ht="12.75" customHeight="1" x14ac:dyDescent="0.3">
      <c r="A63" s="6"/>
      <c r="B63" s="6"/>
      <c r="C63" s="765">
        <f>C57</f>
        <v>2020</v>
      </c>
      <c r="H63" s="765">
        <f>H57</f>
        <v>2021</v>
      </c>
      <c r="M63" s="765">
        <f>M57</f>
        <v>2022</v>
      </c>
    </row>
    <row r="64" spans="1:17" s="2" customFormat="1" ht="13.8" x14ac:dyDescent="0.3">
      <c r="A64" s="3" t="s">
        <v>299</v>
      </c>
      <c r="B64" s="3" t="s">
        <v>222</v>
      </c>
      <c r="C64" s="3" t="s">
        <v>299</v>
      </c>
      <c r="D64" s="3" t="s">
        <v>190</v>
      </c>
      <c r="E64" s="3" t="s">
        <v>300</v>
      </c>
      <c r="F64" s="766" t="s">
        <v>301</v>
      </c>
      <c r="G64" s="3" t="s">
        <v>156</v>
      </c>
      <c r="H64" s="3" t="s">
        <v>299</v>
      </c>
      <c r="I64" s="3" t="s">
        <v>190</v>
      </c>
      <c r="J64" s="3" t="s">
        <v>300</v>
      </c>
      <c r="K64" s="766" t="s">
        <v>301</v>
      </c>
      <c r="L64" s="3" t="s">
        <v>156</v>
      </c>
      <c r="M64" s="3" t="s">
        <v>299</v>
      </c>
      <c r="N64" s="3" t="s">
        <v>190</v>
      </c>
      <c r="O64" s="3" t="s">
        <v>300</v>
      </c>
      <c r="P64" s="766" t="s">
        <v>301</v>
      </c>
      <c r="Q64" s="3" t="s">
        <v>156</v>
      </c>
    </row>
    <row r="65" spans="1:17" s="2" customFormat="1" ht="13.8" x14ac:dyDescent="0.3">
      <c r="A65" s="3" t="s">
        <v>221</v>
      </c>
      <c r="B65" s="3" t="s">
        <v>223</v>
      </c>
      <c r="C65" s="3"/>
      <c r="D65" s="3"/>
      <c r="E65" s="3"/>
      <c r="F65" s="3"/>
      <c r="G65" s="766" t="s">
        <v>302</v>
      </c>
      <c r="H65" s="3"/>
      <c r="I65" s="3"/>
      <c r="J65" s="3"/>
      <c r="K65" s="3"/>
      <c r="L65" s="766" t="s">
        <v>302</v>
      </c>
      <c r="M65" s="3"/>
      <c r="N65" s="3"/>
      <c r="O65" s="3"/>
      <c r="P65" s="3"/>
      <c r="Q65" s="766" t="s">
        <v>302</v>
      </c>
    </row>
    <row r="66" spans="1:17" s="2" customFormat="1" ht="13.8" x14ac:dyDescent="0.3">
      <c r="A66" s="3">
        <v>0</v>
      </c>
      <c r="B66" s="3">
        <v>0</v>
      </c>
      <c r="C66" s="3">
        <v>0</v>
      </c>
      <c r="D66" s="767" t="s">
        <v>622</v>
      </c>
      <c r="E66" s="3"/>
      <c r="F66" s="3"/>
      <c r="G66" s="3"/>
      <c r="H66" s="1300">
        <v>0</v>
      </c>
      <c r="I66" s="1299">
        <v>0</v>
      </c>
      <c r="J66" s="1294"/>
      <c r="K66" s="1294"/>
      <c r="L66" s="1294"/>
      <c r="M66" s="3">
        <v>0</v>
      </c>
      <c r="N66" s="1287">
        <f t="shared" ref="N66" si="5">ROUND(I66*(1+$N$58),0)</f>
        <v>0</v>
      </c>
      <c r="O66" s="1288"/>
      <c r="P66" s="1288"/>
      <c r="Q66" s="1288"/>
    </row>
    <row r="67" spans="1:17" s="2" customFormat="1" ht="13.8" x14ac:dyDescent="0.3">
      <c r="A67" s="3">
        <v>2</v>
      </c>
      <c r="B67" s="3">
        <v>375</v>
      </c>
      <c r="C67" s="5">
        <v>2</v>
      </c>
      <c r="D67" s="1255">
        <v>26259</v>
      </c>
      <c r="E67" s="3"/>
      <c r="F67" s="3"/>
      <c r="G67" s="3"/>
      <c r="H67" s="1301">
        <v>2</v>
      </c>
      <c r="I67" s="1298">
        <v>26580</v>
      </c>
      <c r="J67" s="1294"/>
      <c r="K67" s="1294"/>
      <c r="L67" s="1294"/>
      <c r="M67" s="5">
        <v>2</v>
      </c>
      <c r="N67" s="1287">
        <v>27386</v>
      </c>
      <c r="O67" s="1288"/>
      <c r="P67" s="1288"/>
      <c r="Q67" s="1288"/>
    </row>
    <row r="68" spans="1:17" s="2" customFormat="1" ht="13.8" x14ac:dyDescent="0.3">
      <c r="A68" s="3">
        <v>3</v>
      </c>
      <c r="B68" s="3">
        <v>495</v>
      </c>
      <c r="C68" s="5">
        <v>3</v>
      </c>
      <c r="D68" s="1255">
        <v>33994</v>
      </c>
      <c r="E68" s="40">
        <v>7735</v>
      </c>
      <c r="F68" s="40"/>
      <c r="G68" s="40"/>
      <c r="H68" s="1301">
        <v>3</v>
      </c>
      <c r="I68" s="1298">
        <v>34410</v>
      </c>
      <c r="J68" s="1302">
        <v>7830</v>
      </c>
      <c r="K68" s="1294"/>
      <c r="L68" s="1294"/>
      <c r="M68" s="5">
        <v>3</v>
      </c>
      <c r="N68" s="1287">
        <v>35454</v>
      </c>
      <c r="O68" s="1288">
        <f t="shared" ref="O68:O115" si="6">+N68-N67</f>
        <v>8068</v>
      </c>
      <c r="P68" s="1288"/>
      <c r="Q68" s="1288"/>
    </row>
    <row r="69" spans="1:17" s="2" customFormat="1" ht="13.8" x14ac:dyDescent="0.3">
      <c r="A69" s="3">
        <v>4</v>
      </c>
      <c r="B69" s="3">
        <v>650</v>
      </c>
      <c r="C69" s="5">
        <v>4</v>
      </c>
      <c r="D69" s="1255">
        <v>43986</v>
      </c>
      <c r="E69" s="40">
        <v>9992</v>
      </c>
      <c r="F69" s="40"/>
      <c r="G69" s="40"/>
      <c r="H69" s="1301">
        <v>4</v>
      </c>
      <c r="I69" s="1298">
        <v>44524</v>
      </c>
      <c r="J69" s="1302">
        <v>10114</v>
      </c>
      <c r="K69" s="1294"/>
      <c r="L69" s="1294"/>
      <c r="M69" s="5">
        <v>4</v>
      </c>
      <c r="N69" s="1287">
        <v>45875</v>
      </c>
      <c r="O69" s="1288">
        <f t="shared" si="6"/>
        <v>10421</v>
      </c>
      <c r="P69" s="1288"/>
      <c r="Q69" s="1288"/>
    </row>
    <row r="70" spans="1:17" s="2" customFormat="1" ht="13.8" x14ac:dyDescent="0.3">
      <c r="A70" s="3">
        <v>5</v>
      </c>
      <c r="B70" s="3">
        <v>785</v>
      </c>
      <c r="C70" s="5">
        <v>5</v>
      </c>
      <c r="D70" s="1255">
        <v>52688</v>
      </c>
      <c r="E70" s="40">
        <v>8702</v>
      </c>
      <c r="F70" s="40"/>
      <c r="G70" s="40"/>
      <c r="H70" s="1301">
        <v>5</v>
      </c>
      <c r="I70" s="1298">
        <v>53333</v>
      </c>
      <c r="J70" s="1302">
        <v>8809</v>
      </c>
      <c r="K70" s="1294"/>
      <c r="L70" s="1294"/>
      <c r="M70" s="5">
        <v>5</v>
      </c>
      <c r="N70" s="1287">
        <v>54951</v>
      </c>
      <c r="O70" s="1288">
        <f t="shared" si="6"/>
        <v>9076</v>
      </c>
      <c r="P70" s="1288"/>
      <c r="Q70" s="1288"/>
    </row>
    <row r="71" spans="1:17" s="2" customFormat="1" ht="13.8" x14ac:dyDescent="0.3">
      <c r="A71" s="3">
        <v>6</v>
      </c>
      <c r="B71" s="3">
        <v>875</v>
      </c>
      <c r="C71" s="5">
        <v>6</v>
      </c>
      <c r="D71" s="1255">
        <v>58489</v>
      </c>
      <c r="E71" s="40">
        <v>5801</v>
      </c>
      <c r="F71" s="40"/>
      <c r="G71" s="40"/>
      <c r="H71" s="1301">
        <v>6</v>
      </c>
      <c r="I71" s="1298">
        <v>59205</v>
      </c>
      <c r="J71" s="1302">
        <v>5872</v>
      </c>
      <c r="K71" s="1294"/>
      <c r="L71" s="1294"/>
      <c r="M71" s="5">
        <v>6</v>
      </c>
      <c r="N71" s="1287">
        <v>61001</v>
      </c>
      <c r="O71" s="1288">
        <f t="shared" si="6"/>
        <v>6050</v>
      </c>
      <c r="P71" s="1288"/>
      <c r="Q71" s="1288"/>
    </row>
    <row r="72" spans="1:17" s="2" customFormat="1" ht="13.8" x14ac:dyDescent="0.3">
      <c r="A72" s="3">
        <v>7</v>
      </c>
      <c r="B72" s="3">
        <v>980</v>
      </c>
      <c r="C72" s="5">
        <v>7</v>
      </c>
      <c r="D72" s="767">
        <v>65257</v>
      </c>
      <c r="E72" s="40">
        <v>6768</v>
      </c>
      <c r="F72" s="1255">
        <v>6768</v>
      </c>
      <c r="G72" s="40"/>
      <c r="H72" s="1301">
        <v>7</v>
      </c>
      <c r="I72" s="1297">
        <v>66056</v>
      </c>
      <c r="J72" s="1302">
        <v>6851</v>
      </c>
      <c r="K72" s="1295">
        <v>6851</v>
      </c>
      <c r="L72" s="1294"/>
      <c r="M72" s="5">
        <v>7</v>
      </c>
      <c r="N72" s="1288">
        <f t="shared" ref="N72:N78" si="7">+N71+P72</f>
        <v>68060</v>
      </c>
      <c r="O72" s="1288">
        <f t="shared" si="6"/>
        <v>7059</v>
      </c>
      <c r="P72" s="1287">
        <v>7059</v>
      </c>
      <c r="Q72" s="1288"/>
    </row>
    <row r="73" spans="1:17" s="2" customFormat="1" ht="13.8" x14ac:dyDescent="0.3">
      <c r="A73" s="3">
        <v>8</v>
      </c>
      <c r="B73" s="3">
        <v>1085</v>
      </c>
      <c r="C73" s="5">
        <v>8</v>
      </c>
      <c r="D73" s="767">
        <v>72025</v>
      </c>
      <c r="E73" s="40">
        <v>6768</v>
      </c>
      <c r="F73" s="40">
        <v>6768</v>
      </c>
      <c r="G73" s="40"/>
      <c r="H73" s="1301">
        <v>8</v>
      </c>
      <c r="I73" s="1297">
        <v>72907</v>
      </c>
      <c r="J73" s="1302">
        <v>6851</v>
      </c>
      <c r="K73" s="1296">
        <v>6851</v>
      </c>
      <c r="L73" s="1294"/>
      <c r="M73" s="5">
        <v>8</v>
      </c>
      <c r="N73" s="1288">
        <f t="shared" si="7"/>
        <v>75119</v>
      </c>
      <c r="O73" s="1288">
        <f t="shared" si="6"/>
        <v>7059</v>
      </c>
      <c r="P73" s="1288">
        <f t="shared" ref="P73:P115" si="8">P72</f>
        <v>7059</v>
      </c>
      <c r="Q73" s="1288"/>
    </row>
    <row r="74" spans="1:17" s="2" customFormat="1" ht="13.8" x14ac:dyDescent="0.3">
      <c r="A74" s="3">
        <v>9</v>
      </c>
      <c r="B74" s="3">
        <v>1190</v>
      </c>
      <c r="C74" s="5">
        <v>9</v>
      </c>
      <c r="D74" s="767">
        <v>78793</v>
      </c>
      <c r="E74" s="40">
        <v>6768</v>
      </c>
      <c r="F74" s="40">
        <v>6768</v>
      </c>
      <c r="G74" s="40"/>
      <c r="H74" s="1301">
        <v>9</v>
      </c>
      <c r="I74" s="1297">
        <v>79758</v>
      </c>
      <c r="J74" s="1302">
        <v>6851</v>
      </c>
      <c r="K74" s="1296">
        <v>6851</v>
      </c>
      <c r="L74" s="1294"/>
      <c r="M74" s="5">
        <v>9</v>
      </c>
      <c r="N74" s="1288">
        <f t="shared" si="7"/>
        <v>82178</v>
      </c>
      <c r="O74" s="1288">
        <f t="shared" si="6"/>
        <v>7059</v>
      </c>
      <c r="P74" s="1288">
        <f t="shared" si="8"/>
        <v>7059</v>
      </c>
      <c r="Q74" s="1288"/>
    </row>
    <row r="75" spans="1:17" s="2" customFormat="1" ht="13.8" x14ac:dyDescent="0.3">
      <c r="A75" s="3">
        <v>10</v>
      </c>
      <c r="B75" s="3">
        <v>1295</v>
      </c>
      <c r="C75" s="5">
        <v>10</v>
      </c>
      <c r="D75" s="767">
        <v>85561</v>
      </c>
      <c r="E75" s="40">
        <v>6768</v>
      </c>
      <c r="F75" s="40">
        <v>6768</v>
      </c>
      <c r="G75" s="40"/>
      <c r="H75" s="1301">
        <v>10</v>
      </c>
      <c r="I75" s="1297">
        <v>86609</v>
      </c>
      <c r="J75" s="1302">
        <v>6851</v>
      </c>
      <c r="K75" s="1296">
        <v>6851</v>
      </c>
      <c r="L75" s="1294"/>
      <c r="M75" s="5">
        <v>10</v>
      </c>
      <c r="N75" s="1288">
        <f t="shared" si="7"/>
        <v>89237</v>
      </c>
      <c r="O75" s="1288">
        <f t="shared" si="6"/>
        <v>7059</v>
      </c>
      <c r="P75" s="1288">
        <f t="shared" si="8"/>
        <v>7059</v>
      </c>
      <c r="Q75" s="1288"/>
    </row>
    <row r="76" spans="1:17" s="2" customFormat="1" ht="13.8" x14ac:dyDescent="0.3">
      <c r="A76" s="3">
        <v>11</v>
      </c>
      <c r="B76" s="3">
        <v>1400</v>
      </c>
      <c r="C76" s="5">
        <v>11</v>
      </c>
      <c r="D76" s="767">
        <v>92329</v>
      </c>
      <c r="E76" s="40">
        <v>6768</v>
      </c>
      <c r="F76" s="40">
        <v>6768</v>
      </c>
      <c r="G76" s="40"/>
      <c r="H76" s="1301">
        <v>11</v>
      </c>
      <c r="I76" s="1297">
        <v>93460</v>
      </c>
      <c r="J76" s="1302">
        <v>6851</v>
      </c>
      <c r="K76" s="1296">
        <v>6851</v>
      </c>
      <c r="L76" s="1294"/>
      <c r="M76" s="5">
        <v>11</v>
      </c>
      <c r="N76" s="1288">
        <f t="shared" si="7"/>
        <v>96296</v>
      </c>
      <c r="O76" s="1288">
        <f t="shared" si="6"/>
        <v>7059</v>
      </c>
      <c r="P76" s="1288">
        <f t="shared" si="8"/>
        <v>7059</v>
      </c>
      <c r="Q76" s="1288"/>
    </row>
    <row r="77" spans="1:17" s="2" customFormat="1" ht="13.8" x14ac:dyDescent="0.3">
      <c r="A77" s="3">
        <v>12</v>
      </c>
      <c r="B77" s="3">
        <v>1505</v>
      </c>
      <c r="C77" s="5">
        <v>12</v>
      </c>
      <c r="D77" s="767">
        <v>99097</v>
      </c>
      <c r="E77" s="40">
        <v>6768</v>
      </c>
      <c r="F77" s="40">
        <v>6768</v>
      </c>
      <c r="G77" s="40"/>
      <c r="H77" s="1301">
        <v>12</v>
      </c>
      <c r="I77" s="1297">
        <v>100311</v>
      </c>
      <c r="J77" s="1302">
        <v>6851</v>
      </c>
      <c r="K77" s="1296">
        <v>6851</v>
      </c>
      <c r="L77" s="1294"/>
      <c r="M77" s="5">
        <v>12</v>
      </c>
      <c r="N77" s="1288">
        <f t="shared" si="7"/>
        <v>103355</v>
      </c>
      <c r="O77" s="1288">
        <f t="shared" si="6"/>
        <v>7059</v>
      </c>
      <c r="P77" s="1288">
        <f t="shared" si="8"/>
        <v>7059</v>
      </c>
      <c r="Q77" s="1288"/>
    </row>
    <row r="78" spans="1:17" s="2" customFormat="1" ht="13.8" x14ac:dyDescent="0.3">
      <c r="A78" s="3">
        <v>13</v>
      </c>
      <c r="B78" s="3">
        <v>1610</v>
      </c>
      <c r="C78" s="5">
        <v>13</v>
      </c>
      <c r="D78" s="767">
        <v>105865</v>
      </c>
      <c r="E78" s="40">
        <v>6768</v>
      </c>
      <c r="F78" s="40">
        <v>6768</v>
      </c>
      <c r="G78" s="40"/>
      <c r="H78" s="1301">
        <v>13</v>
      </c>
      <c r="I78" s="1297">
        <v>107162</v>
      </c>
      <c r="J78" s="1302">
        <v>6851</v>
      </c>
      <c r="K78" s="1296">
        <v>6851</v>
      </c>
      <c r="L78" s="1294"/>
      <c r="M78" s="5">
        <v>13</v>
      </c>
      <c r="N78" s="1288">
        <f t="shared" si="7"/>
        <v>110414</v>
      </c>
      <c r="O78" s="1288">
        <f t="shared" si="6"/>
        <v>7059</v>
      </c>
      <c r="P78" s="1288">
        <f t="shared" si="8"/>
        <v>7059</v>
      </c>
      <c r="Q78" s="1288"/>
    </row>
    <row r="79" spans="1:17" s="2" customFormat="1" ht="13.8" x14ac:dyDescent="0.3">
      <c r="A79" s="3">
        <v>14</v>
      </c>
      <c r="B79" s="3">
        <v>1755</v>
      </c>
      <c r="C79" s="5">
        <v>14</v>
      </c>
      <c r="D79" s="767">
        <v>115211</v>
      </c>
      <c r="E79" s="40">
        <v>9346</v>
      </c>
      <c r="F79" s="40">
        <v>6768</v>
      </c>
      <c r="G79" s="1255">
        <v>2578</v>
      </c>
      <c r="H79" s="1301">
        <v>14</v>
      </c>
      <c r="I79" s="1297">
        <v>116623</v>
      </c>
      <c r="J79" s="1302">
        <v>9461</v>
      </c>
      <c r="K79" s="1296">
        <v>6851</v>
      </c>
      <c r="L79" s="1295">
        <v>2610</v>
      </c>
      <c r="M79" s="5">
        <v>14</v>
      </c>
      <c r="N79" s="1288">
        <f>+N78+P79+Q79</f>
        <v>120162</v>
      </c>
      <c r="O79" s="1288">
        <f t="shared" si="6"/>
        <v>9748</v>
      </c>
      <c r="P79" s="1288">
        <f t="shared" si="8"/>
        <v>7059</v>
      </c>
      <c r="Q79" s="1287">
        <f>ROUND(L79*(1+$N$58),0)</f>
        <v>2689</v>
      </c>
    </row>
    <row r="80" spans="1:17" s="2" customFormat="1" ht="13.8" x14ac:dyDescent="0.3">
      <c r="A80" s="3">
        <v>15</v>
      </c>
      <c r="B80" s="3">
        <v>1860</v>
      </c>
      <c r="C80" s="5">
        <v>15</v>
      </c>
      <c r="D80" s="767">
        <v>121979</v>
      </c>
      <c r="E80" s="40">
        <v>6768</v>
      </c>
      <c r="F80" s="40">
        <v>6768</v>
      </c>
      <c r="G80" s="40"/>
      <c r="H80" s="1301">
        <v>15</v>
      </c>
      <c r="I80" s="1297">
        <v>123474</v>
      </c>
      <c r="J80" s="1302">
        <v>6851</v>
      </c>
      <c r="K80" s="1296">
        <v>6851</v>
      </c>
      <c r="L80" s="1294"/>
      <c r="M80" s="5">
        <v>15</v>
      </c>
      <c r="N80" s="1288">
        <f t="shared" ref="N80:N115" si="9">+N79+P80</f>
        <v>127221</v>
      </c>
      <c r="O80" s="1288">
        <f t="shared" si="6"/>
        <v>7059</v>
      </c>
      <c r="P80" s="1288">
        <f t="shared" si="8"/>
        <v>7059</v>
      </c>
      <c r="Q80" s="1288"/>
    </row>
    <row r="81" spans="1:17" s="2" customFormat="1" ht="13.8" x14ac:dyDescent="0.3">
      <c r="A81" s="3">
        <v>16</v>
      </c>
      <c r="B81" s="3">
        <v>1965</v>
      </c>
      <c r="C81" s="5">
        <v>16</v>
      </c>
      <c r="D81" s="767">
        <v>128747</v>
      </c>
      <c r="E81" s="40">
        <v>6768</v>
      </c>
      <c r="F81" s="40">
        <v>6768</v>
      </c>
      <c r="G81" s="40"/>
      <c r="H81" s="1301">
        <v>16</v>
      </c>
      <c r="I81" s="1297">
        <v>130325</v>
      </c>
      <c r="J81" s="1302">
        <v>6851</v>
      </c>
      <c r="K81" s="1296">
        <v>6851</v>
      </c>
      <c r="L81" s="1294"/>
      <c r="M81" s="5">
        <v>16</v>
      </c>
      <c r="N81" s="1288">
        <f t="shared" si="9"/>
        <v>134280</v>
      </c>
      <c r="O81" s="1288">
        <f t="shared" si="6"/>
        <v>7059</v>
      </c>
      <c r="P81" s="1288">
        <f t="shared" si="8"/>
        <v>7059</v>
      </c>
      <c r="Q81" s="1288"/>
    </row>
    <row r="82" spans="1:17" s="2" customFormat="1" ht="13.8" x14ac:dyDescent="0.3">
      <c r="A82" s="3">
        <v>17</v>
      </c>
      <c r="B82" s="3">
        <v>2070</v>
      </c>
      <c r="C82" s="5">
        <v>17</v>
      </c>
      <c r="D82" s="767">
        <v>135515</v>
      </c>
      <c r="E82" s="40">
        <v>6768</v>
      </c>
      <c r="F82" s="40">
        <v>6768</v>
      </c>
      <c r="G82" s="40"/>
      <c r="H82" s="1301">
        <v>17</v>
      </c>
      <c r="I82" s="1297">
        <v>137176</v>
      </c>
      <c r="J82" s="1302">
        <v>6851</v>
      </c>
      <c r="K82" s="1296">
        <v>6851</v>
      </c>
      <c r="L82" s="1294"/>
      <c r="M82" s="5">
        <v>17</v>
      </c>
      <c r="N82" s="1288">
        <f t="shared" si="9"/>
        <v>141339</v>
      </c>
      <c r="O82" s="1288">
        <f t="shared" si="6"/>
        <v>7059</v>
      </c>
      <c r="P82" s="1288">
        <f t="shared" si="8"/>
        <v>7059</v>
      </c>
      <c r="Q82" s="1288"/>
    </row>
    <row r="83" spans="1:17" s="2" customFormat="1" ht="13.8" x14ac:dyDescent="0.3">
      <c r="A83" s="3">
        <v>18</v>
      </c>
      <c r="B83" s="3">
        <v>2175</v>
      </c>
      <c r="C83" s="5">
        <v>18</v>
      </c>
      <c r="D83" s="767">
        <v>142283</v>
      </c>
      <c r="E83" s="40">
        <v>6768</v>
      </c>
      <c r="F83" s="40">
        <v>6768</v>
      </c>
      <c r="G83" s="40"/>
      <c r="H83" s="1301">
        <v>18</v>
      </c>
      <c r="I83" s="1297">
        <v>144027</v>
      </c>
      <c r="J83" s="1302">
        <v>6851</v>
      </c>
      <c r="K83" s="1296">
        <v>6851</v>
      </c>
      <c r="L83" s="1294"/>
      <c r="M83" s="5">
        <v>18</v>
      </c>
      <c r="N83" s="1288">
        <f t="shared" si="9"/>
        <v>148398</v>
      </c>
      <c r="O83" s="1288">
        <f t="shared" si="6"/>
        <v>7059</v>
      </c>
      <c r="P83" s="1288">
        <f t="shared" si="8"/>
        <v>7059</v>
      </c>
      <c r="Q83" s="1288"/>
    </row>
    <row r="84" spans="1:17" s="2" customFormat="1" ht="13.8" x14ac:dyDescent="0.3">
      <c r="A84" s="3">
        <v>19</v>
      </c>
      <c r="B84" s="3">
        <v>2280</v>
      </c>
      <c r="C84" s="5">
        <v>19</v>
      </c>
      <c r="D84" s="767">
        <v>149051</v>
      </c>
      <c r="E84" s="40">
        <v>6768</v>
      </c>
      <c r="F84" s="40">
        <v>6768</v>
      </c>
      <c r="G84" s="40"/>
      <c r="H84" s="1301">
        <v>19</v>
      </c>
      <c r="I84" s="1297">
        <v>150878</v>
      </c>
      <c r="J84" s="1302">
        <v>6851</v>
      </c>
      <c r="K84" s="1296">
        <v>6851</v>
      </c>
      <c r="L84" s="1294"/>
      <c r="M84" s="5">
        <v>19</v>
      </c>
      <c r="N84" s="1288">
        <f t="shared" si="9"/>
        <v>155457</v>
      </c>
      <c r="O84" s="1288">
        <f t="shared" si="6"/>
        <v>7059</v>
      </c>
      <c r="P84" s="1288">
        <f t="shared" si="8"/>
        <v>7059</v>
      </c>
      <c r="Q84" s="1288"/>
    </row>
    <row r="85" spans="1:17" s="2" customFormat="1" ht="13.8" x14ac:dyDescent="0.3">
      <c r="A85" s="3">
        <v>20</v>
      </c>
      <c r="B85" s="3">
        <v>2385</v>
      </c>
      <c r="C85" s="5">
        <v>20</v>
      </c>
      <c r="D85" s="767">
        <v>155819</v>
      </c>
      <c r="E85" s="40">
        <v>6768</v>
      </c>
      <c r="F85" s="40">
        <v>6768</v>
      </c>
      <c r="G85" s="40"/>
      <c r="H85" s="1301">
        <v>20</v>
      </c>
      <c r="I85" s="1297">
        <v>157729</v>
      </c>
      <c r="J85" s="1302">
        <v>6851</v>
      </c>
      <c r="K85" s="1296">
        <v>6851</v>
      </c>
      <c r="L85" s="1294"/>
      <c r="M85" s="5">
        <v>20</v>
      </c>
      <c r="N85" s="1288">
        <f t="shared" si="9"/>
        <v>162516</v>
      </c>
      <c r="O85" s="1288">
        <f t="shared" si="6"/>
        <v>7059</v>
      </c>
      <c r="P85" s="1288">
        <f t="shared" si="8"/>
        <v>7059</v>
      </c>
      <c r="Q85" s="1288"/>
    </row>
    <row r="86" spans="1:17" s="2" customFormat="1" ht="13.8" x14ac:dyDescent="0.3">
      <c r="A86" s="3">
        <v>21</v>
      </c>
      <c r="B86" s="3">
        <v>2490</v>
      </c>
      <c r="C86" s="5">
        <v>21</v>
      </c>
      <c r="D86" s="767">
        <v>162587</v>
      </c>
      <c r="E86" s="40">
        <v>6768</v>
      </c>
      <c r="F86" s="40">
        <v>6768</v>
      </c>
      <c r="G86" s="40"/>
      <c r="H86" s="1301">
        <v>21</v>
      </c>
      <c r="I86" s="1297">
        <v>164580</v>
      </c>
      <c r="J86" s="1302">
        <v>6851</v>
      </c>
      <c r="K86" s="1296">
        <v>6851</v>
      </c>
      <c r="L86" s="1294"/>
      <c r="M86" s="5">
        <v>21</v>
      </c>
      <c r="N86" s="1288">
        <f t="shared" si="9"/>
        <v>169575</v>
      </c>
      <c r="O86" s="1288">
        <f t="shared" si="6"/>
        <v>7059</v>
      </c>
      <c r="P86" s="1288">
        <f t="shared" si="8"/>
        <v>7059</v>
      </c>
      <c r="Q86" s="1288"/>
    </row>
    <row r="87" spans="1:17" s="2" customFormat="1" ht="13.8" x14ac:dyDescent="0.3">
      <c r="A87" s="3">
        <v>22</v>
      </c>
      <c r="B87" s="3">
        <v>2595</v>
      </c>
      <c r="C87" s="5">
        <v>22</v>
      </c>
      <c r="D87" s="767">
        <v>169355</v>
      </c>
      <c r="E87" s="40">
        <v>6768</v>
      </c>
      <c r="F87" s="40">
        <v>6768</v>
      </c>
      <c r="G87" s="40"/>
      <c r="H87" s="1301">
        <v>22</v>
      </c>
      <c r="I87" s="1297">
        <v>171431</v>
      </c>
      <c r="J87" s="1302">
        <v>6851</v>
      </c>
      <c r="K87" s="1296">
        <v>6851</v>
      </c>
      <c r="L87" s="1294"/>
      <c r="M87" s="5">
        <v>22</v>
      </c>
      <c r="N87" s="1288">
        <f t="shared" si="9"/>
        <v>176634</v>
      </c>
      <c r="O87" s="1288">
        <f t="shared" si="6"/>
        <v>7059</v>
      </c>
      <c r="P87" s="1288">
        <f t="shared" si="8"/>
        <v>7059</v>
      </c>
      <c r="Q87" s="1288"/>
    </row>
    <row r="88" spans="1:17" s="2" customFormat="1" ht="13.8" x14ac:dyDescent="0.3">
      <c r="A88" s="3">
        <v>23</v>
      </c>
      <c r="B88" s="3">
        <v>2700</v>
      </c>
      <c r="C88" s="5">
        <v>23</v>
      </c>
      <c r="D88" s="767">
        <v>176123</v>
      </c>
      <c r="E88" s="40">
        <v>6768</v>
      </c>
      <c r="F88" s="40">
        <v>6768</v>
      </c>
      <c r="G88" s="40"/>
      <c r="H88" s="1301">
        <v>23</v>
      </c>
      <c r="I88" s="1297">
        <v>178282</v>
      </c>
      <c r="J88" s="1302">
        <v>6851</v>
      </c>
      <c r="K88" s="1296">
        <v>6851</v>
      </c>
      <c r="L88" s="1294"/>
      <c r="M88" s="5">
        <v>23</v>
      </c>
      <c r="N88" s="1288">
        <f t="shared" si="9"/>
        <v>183693</v>
      </c>
      <c r="O88" s="1288">
        <f t="shared" si="6"/>
        <v>7059</v>
      </c>
      <c r="P88" s="1288">
        <f t="shared" si="8"/>
        <v>7059</v>
      </c>
      <c r="Q88" s="1288"/>
    </row>
    <row r="89" spans="1:17" s="2" customFormat="1" ht="13.8" x14ac:dyDescent="0.3">
      <c r="A89" s="3">
        <v>24</v>
      </c>
      <c r="B89" s="3">
        <v>2805</v>
      </c>
      <c r="C89" s="5">
        <v>24</v>
      </c>
      <c r="D89" s="767">
        <v>182891</v>
      </c>
      <c r="E89" s="40">
        <v>6768</v>
      </c>
      <c r="F89" s="40">
        <v>6768</v>
      </c>
      <c r="G89" s="40"/>
      <c r="H89" s="1301">
        <v>24</v>
      </c>
      <c r="I89" s="1297">
        <v>185133</v>
      </c>
      <c r="J89" s="1302">
        <v>6851</v>
      </c>
      <c r="K89" s="1296">
        <v>6851</v>
      </c>
      <c r="L89" s="40"/>
      <c r="M89" s="5">
        <v>24</v>
      </c>
      <c r="N89" s="1288">
        <f t="shared" si="9"/>
        <v>190752</v>
      </c>
      <c r="O89" s="1288">
        <f t="shared" si="6"/>
        <v>7059</v>
      </c>
      <c r="P89" s="1288">
        <f t="shared" si="8"/>
        <v>7059</v>
      </c>
      <c r="Q89" s="1288"/>
    </row>
    <row r="90" spans="1:17" s="2" customFormat="1" ht="13.8" x14ac:dyDescent="0.3">
      <c r="A90" s="3">
        <v>25</v>
      </c>
      <c r="B90" s="3">
        <v>2910</v>
      </c>
      <c r="C90" s="5">
        <v>25</v>
      </c>
      <c r="D90" s="767">
        <v>189659</v>
      </c>
      <c r="E90" s="40">
        <v>6768</v>
      </c>
      <c r="F90" s="40">
        <v>6768</v>
      </c>
      <c r="G90" s="40"/>
      <c r="H90" s="1301">
        <v>25</v>
      </c>
      <c r="I90" s="1297">
        <v>191984</v>
      </c>
      <c r="J90" s="1302">
        <v>6851</v>
      </c>
      <c r="K90" s="1296">
        <v>6851</v>
      </c>
      <c r="L90" s="40"/>
      <c r="M90" s="5">
        <v>25</v>
      </c>
      <c r="N90" s="1288">
        <f t="shared" si="9"/>
        <v>197811</v>
      </c>
      <c r="O90" s="1288">
        <f t="shared" si="6"/>
        <v>7059</v>
      </c>
      <c r="P90" s="1288">
        <f t="shared" si="8"/>
        <v>7059</v>
      </c>
      <c r="Q90" s="1288"/>
    </row>
    <row r="91" spans="1:17" s="2" customFormat="1" ht="13.8" x14ac:dyDescent="0.3">
      <c r="A91" s="3">
        <v>26</v>
      </c>
      <c r="B91" s="3">
        <v>3015</v>
      </c>
      <c r="C91" s="5">
        <v>26</v>
      </c>
      <c r="D91" s="767">
        <v>196427</v>
      </c>
      <c r="E91" s="40">
        <v>6768</v>
      </c>
      <c r="F91" s="40">
        <v>6768</v>
      </c>
      <c r="G91" s="40"/>
      <c r="H91" s="1301">
        <v>26</v>
      </c>
      <c r="I91" s="1297">
        <v>198835</v>
      </c>
      <c r="J91" s="1302">
        <v>6851</v>
      </c>
      <c r="K91" s="1296">
        <v>6851</v>
      </c>
      <c r="L91" s="40"/>
      <c r="M91" s="5">
        <v>26</v>
      </c>
      <c r="N91" s="1288">
        <f t="shared" si="9"/>
        <v>204870</v>
      </c>
      <c r="O91" s="1288">
        <f t="shared" si="6"/>
        <v>7059</v>
      </c>
      <c r="P91" s="1288">
        <f t="shared" si="8"/>
        <v>7059</v>
      </c>
      <c r="Q91" s="1288"/>
    </row>
    <row r="92" spans="1:17" s="2" customFormat="1" ht="13.8" x14ac:dyDescent="0.3">
      <c r="A92" s="3">
        <v>27</v>
      </c>
      <c r="B92" s="3">
        <v>3120</v>
      </c>
      <c r="C92" s="5">
        <v>27</v>
      </c>
      <c r="D92" s="767">
        <v>203195</v>
      </c>
      <c r="E92" s="40">
        <v>6768</v>
      </c>
      <c r="F92" s="40">
        <v>6768</v>
      </c>
      <c r="G92" s="40"/>
      <c r="H92" s="1301">
        <v>27</v>
      </c>
      <c r="I92" s="1297">
        <v>205686</v>
      </c>
      <c r="J92" s="1302">
        <v>6851</v>
      </c>
      <c r="K92" s="1296">
        <v>6851</v>
      </c>
      <c r="L92" s="40"/>
      <c r="M92" s="5">
        <v>27</v>
      </c>
      <c r="N92" s="1288">
        <f t="shared" si="9"/>
        <v>211929</v>
      </c>
      <c r="O92" s="1288">
        <f t="shared" si="6"/>
        <v>7059</v>
      </c>
      <c r="P92" s="1288">
        <f t="shared" si="8"/>
        <v>7059</v>
      </c>
      <c r="Q92" s="1288"/>
    </row>
    <row r="93" spans="1:17" s="2" customFormat="1" ht="13.8" x14ac:dyDescent="0.3">
      <c r="A93" s="3">
        <v>28</v>
      </c>
      <c r="B93" s="3">
        <v>3225</v>
      </c>
      <c r="C93" s="5">
        <v>28</v>
      </c>
      <c r="D93" s="767">
        <v>209963</v>
      </c>
      <c r="E93" s="40">
        <v>6768</v>
      </c>
      <c r="F93" s="40">
        <v>6768</v>
      </c>
      <c r="G93" s="40"/>
      <c r="H93" s="1301">
        <v>28</v>
      </c>
      <c r="I93" s="1297">
        <v>212537</v>
      </c>
      <c r="J93" s="1302">
        <v>6851</v>
      </c>
      <c r="K93" s="1296">
        <v>6851</v>
      </c>
      <c r="L93" s="40"/>
      <c r="M93" s="5">
        <v>28</v>
      </c>
      <c r="N93" s="1288">
        <f t="shared" si="9"/>
        <v>218988</v>
      </c>
      <c r="O93" s="1288">
        <f t="shared" si="6"/>
        <v>7059</v>
      </c>
      <c r="P93" s="1288">
        <f t="shared" si="8"/>
        <v>7059</v>
      </c>
      <c r="Q93" s="1288"/>
    </row>
    <row r="94" spans="1:17" s="2" customFormat="1" ht="13.8" x14ac:dyDescent="0.3">
      <c r="A94" s="3">
        <v>29</v>
      </c>
      <c r="B94" s="3">
        <v>3330</v>
      </c>
      <c r="C94" s="5">
        <v>29</v>
      </c>
      <c r="D94" s="767">
        <v>216731</v>
      </c>
      <c r="E94" s="40">
        <v>6768</v>
      </c>
      <c r="F94" s="40">
        <v>6768</v>
      </c>
      <c r="G94" s="40"/>
      <c r="H94" s="1301">
        <v>29</v>
      </c>
      <c r="I94" s="1297">
        <v>219388</v>
      </c>
      <c r="J94" s="1302">
        <v>6851</v>
      </c>
      <c r="K94" s="1296">
        <v>6851</v>
      </c>
      <c r="L94" s="40"/>
      <c r="M94" s="5">
        <v>29</v>
      </c>
      <c r="N94" s="1288">
        <f t="shared" si="9"/>
        <v>226047</v>
      </c>
      <c r="O94" s="1288">
        <f t="shared" si="6"/>
        <v>7059</v>
      </c>
      <c r="P94" s="1288">
        <f t="shared" si="8"/>
        <v>7059</v>
      </c>
      <c r="Q94" s="1288"/>
    </row>
    <row r="95" spans="1:17" s="2" customFormat="1" ht="13.8" x14ac:dyDescent="0.3">
      <c r="A95" s="3">
        <v>30</v>
      </c>
      <c r="B95" s="3">
        <v>3435</v>
      </c>
      <c r="C95" s="5">
        <v>30</v>
      </c>
      <c r="D95" s="767">
        <v>223499</v>
      </c>
      <c r="E95" s="40">
        <v>6768</v>
      </c>
      <c r="F95" s="40">
        <v>6768</v>
      </c>
      <c r="G95" s="40"/>
      <c r="H95" s="1301">
        <v>30</v>
      </c>
      <c r="I95" s="1297">
        <v>226239</v>
      </c>
      <c r="J95" s="1302">
        <v>6851</v>
      </c>
      <c r="K95" s="1296">
        <v>6851</v>
      </c>
      <c r="L95" s="40"/>
      <c r="M95" s="5">
        <v>30</v>
      </c>
      <c r="N95" s="1288">
        <f t="shared" si="9"/>
        <v>233106</v>
      </c>
      <c r="O95" s="1288">
        <f t="shared" si="6"/>
        <v>7059</v>
      </c>
      <c r="P95" s="1288">
        <f t="shared" si="8"/>
        <v>7059</v>
      </c>
      <c r="Q95" s="1288"/>
    </row>
    <row r="96" spans="1:17" s="2" customFormat="1" ht="13.8" x14ac:dyDescent="0.3">
      <c r="A96" s="3">
        <v>31</v>
      </c>
      <c r="B96" s="3">
        <v>3540</v>
      </c>
      <c r="C96" s="5">
        <v>31</v>
      </c>
      <c r="D96" s="767">
        <v>230267</v>
      </c>
      <c r="E96" s="40">
        <v>6768</v>
      </c>
      <c r="F96" s="40">
        <v>6768</v>
      </c>
      <c r="G96" s="40"/>
      <c r="H96" s="1301">
        <v>31</v>
      </c>
      <c r="I96" s="1297">
        <v>233090</v>
      </c>
      <c r="J96" s="1302">
        <v>6851</v>
      </c>
      <c r="K96" s="1296">
        <v>6851</v>
      </c>
      <c r="L96" s="40"/>
      <c r="M96" s="5">
        <v>31</v>
      </c>
      <c r="N96" s="1288">
        <f t="shared" si="9"/>
        <v>240165</v>
      </c>
      <c r="O96" s="1288">
        <f t="shared" si="6"/>
        <v>7059</v>
      </c>
      <c r="P96" s="1288">
        <f t="shared" si="8"/>
        <v>7059</v>
      </c>
      <c r="Q96" s="1288"/>
    </row>
    <row r="97" spans="1:17" s="2" customFormat="1" ht="13.8" x14ac:dyDescent="0.3">
      <c r="A97" s="3">
        <v>32</v>
      </c>
      <c r="B97" s="3">
        <v>3645</v>
      </c>
      <c r="C97" s="5">
        <v>32</v>
      </c>
      <c r="D97" s="767">
        <v>237035</v>
      </c>
      <c r="E97" s="40">
        <v>6768</v>
      </c>
      <c r="F97" s="40">
        <v>6768</v>
      </c>
      <c r="G97" s="40"/>
      <c r="H97" s="1301">
        <v>32</v>
      </c>
      <c r="I97" s="1297">
        <v>239941</v>
      </c>
      <c r="J97" s="1302">
        <v>6851</v>
      </c>
      <c r="K97" s="1296">
        <v>6851</v>
      </c>
      <c r="L97" s="40"/>
      <c r="M97" s="5">
        <v>32</v>
      </c>
      <c r="N97" s="1288">
        <f t="shared" si="9"/>
        <v>247224</v>
      </c>
      <c r="O97" s="1288">
        <f t="shared" si="6"/>
        <v>7059</v>
      </c>
      <c r="P97" s="1288">
        <f t="shared" si="8"/>
        <v>7059</v>
      </c>
      <c r="Q97" s="1288"/>
    </row>
    <row r="98" spans="1:17" s="2" customFormat="1" ht="13.8" x14ac:dyDescent="0.3">
      <c r="A98" s="3">
        <v>33</v>
      </c>
      <c r="B98" s="3">
        <v>3750</v>
      </c>
      <c r="C98" s="5">
        <v>33</v>
      </c>
      <c r="D98" s="767">
        <v>243803</v>
      </c>
      <c r="E98" s="40">
        <v>6768</v>
      </c>
      <c r="F98" s="40">
        <v>6768</v>
      </c>
      <c r="G98" s="40"/>
      <c r="H98" s="1301">
        <v>33</v>
      </c>
      <c r="I98" s="1297">
        <v>246792</v>
      </c>
      <c r="J98" s="1302">
        <v>6851</v>
      </c>
      <c r="K98" s="1296">
        <v>6851</v>
      </c>
      <c r="L98" s="40"/>
      <c r="M98" s="5">
        <v>33</v>
      </c>
      <c r="N98" s="1288">
        <f t="shared" si="9"/>
        <v>254283</v>
      </c>
      <c r="O98" s="1288">
        <f t="shared" si="6"/>
        <v>7059</v>
      </c>
      <c r="P98" s="1288">
        <f t="shared" si="8"/>
        <v>7059</v>
      </c>
      <c r="Q98" s="1288"/>
    </row>
    <row r="99" spans="1:17" s="2" customFormat="1" ht="13.8" x14ac:dyDescent="0.3">
      <c r="A99" s="3">
        <v>34</v>
      </c>
      <c r="B99" s="3">
        <v>3855</v>
      </c>
      <c r="C99" s="5">
        <v>34</v>
      </c>
      <c r="D99" s="767">
        <v>250571</v>
      </c>
      <c r="E99" s="40">
        <v>6768</v>
      </c>
      <c r="F99" s="40">
        <v>6768</v>
      </c>
      <c r="G99" s="40"/>
      <c r="H99" s="1301">
        <v>34</v>
      </c>
      <c r="I99" s="1297">
        <v>253643</v>
      </c>
      <c r="J99" s="1302">
        <v>6851</v>
      </c>
      <c r="K99" s="1296">
        <v>6851</v>
      </c>
      <c r="L99" s="40"/>
      <c r="M99" s="5">
        <v>34</v>
      </c>
      <c r="N99" s="1288">
        <f t="shared" si="9"/>
        <v>261342</v>
      </c>
      <c r="O99" s="1288">
        <f t="shared" si="6"/>
        <v>7059</v>
      </c>
      <c r="P99" s="1288">
        <f t="shared" si="8"/>
        <v>7059</v>
      </c>
      <c r="Q99" s="1288"/>
    </row>
    <row r="100" spans="1:17" s="2" customFormat="1" ht="13.8" x14ac:dyDescent="0.3">
      <c r="A100" s="3">
        <v>35</v>
      </c>
      <c r="B100" s="3">
        <v>3960</v>
      </c>
      <c r="C100" s="5">
        <v>35</v>
      </c>
      <c r="D100" s="767">
        <v>257339</v>
      </c>
      <c r="E100" s="40">
        <v>6768</v>
      </c>
      <c r="F100" s="40">
        <v>6768</v>
      </c>
      <c r="G100" s="40"/>
      <c r="H100" s="1301">
        <v>35</v>
      </c>
      <c r="I100" s="1297">
        <v>260494</v>
      </c>
      <c r="J100" s="1302">
        <v>6851</v>
      </c>
      <c r="K100" s="1296">
        <v>6851</v>
      </c>
      <c r="L100" s="40"/>
      <c r="M100" s="5">
        <v>35</v>
      </c>
      <c r="N100" s="1288">
        <f t="shared" si="9"/>
        <v>268401</v>
      </c>
      <c r="O100" s="1288">
        <f t="shared" si="6"/>
        <v>7059</v>
      </c>
      <c r="P100" s="1288">
        <f t="shared" si="8"/>
        <v>7059</v>
      </c>
      <c r="Q100" s="1288"/>
    </row>
    <row r="101" spans="1:17" s="2" customFormat="1" ht="13.8" x14ac:dyDescent="0.3">
      <c r="A101" s="3">
        <f>+A100+1</f>
        <v>36</v>
      </c>
      <c r="B101" s="3">
        <f>B100+105</f>
        <v>4065</v>
      </c>
      <c r="C101" s="5">
        <v>36</v>
      </c>
      <c r="D101" s="767">
        <v>264107</v>
      </c>
      <c r="E101" s="40">
        <v>6768</v>
      </c>
      <c r="F101" s="40">
        <v>6768</v>
      </c>
      <c r="G101" s="40"/>
      <c r="H101" s="1300">
        <v>36</v>
      </c>
      <c r="I101" s="1297">
        <v>267345</v>
      </c>
      <c r="J101" s="1302">
        <v>6851</v>
      </c>
      <c r="K101" s="1296">
        <v>6851</v>
      </c>
      <c r="L101" s="40"/>
      <c r="M101" s="5">
        <v>36</v>
      </c>
      <c r="N101" s="1288">
        <f t="shared" si="9"/>
        <v>275460</v>
      </c>
      <c r="O101" s="1288">
        <f t="shared" si="6"/>
        <v>7059</v>
      </c>
      <c r="P101" s="1288">
        <f t="shared" si="8"/>
        <v>7059</v>
      </c>
      <c r="Q101" s="1288"/>
    </row>
    <row r="102" spans="1:17" s="2" customFormat="1" ht="13.8" x14ac:dyDescent="0.3">
      <c r="A102" s="3">
        <f>+A101+1</f>
        <v>37</v>
      </c>
      <c r="B102" s="3">
        <f t="shared" ref="B102:B115" si="10">+B101+105</f>
        <v>4170</v>
      </c>
      <c r="C102" s="5">
        <v>37</v>
      </c>
      <c r="D102" s="767">
        <v>270875</v>
      </c>
      <c r="E102" s="40">
        <v>6768</v>
      </c>
      <c r="F102" s="40">
        <v>6768</v>
      </c>
      <c r="G102" s="40"/>
      <c r="H102" s="1300">
        <v>37</v>
      </c>
      <c r="I102" s="1297">
        <v>274196</v>
      </c>
      <c r="J102" s="1302">
        <v>6851</v>
      </c>
      <c r="K102" s="1296">
        <v>6851</v>
      </c>
      <c r="L102" s="40"/>
      <c r="M102" s="5">
        <v>37</v>
      </c>
      <c r="N102" s="1288">
        <f t="shared" si="9"/>
        <v>282519</v>
      </c>
      <c r="O102" s="1288">
        <f t="shared" si="6"/>
        <v>7059</v>
      </c>
      <c r="P102" s="1288">
        <f t="shared" si="8"/>
        <v>7059</v>
      </c>
      <c r="Q102" s="1288"/>
    </row>
    <row r="103" spans="1:17" s="2" customFormat="1" ht="13.8" x14ac:dyDescent="0.3">
      <c r="A103" s="3">
        <f>+A102+1</f>
        <v>38</v>
      </c>
      <c r="B103" s="3">
        <f t="shared" si="10"/>
        <v>4275</v>
      </c>
      <c r="C103" s="5">
        <v>38</v>
      </c>
      <c r="D103" s="767">
        <v>277643</v>
      </c>
      <c r="E103" s="40">
        <v>6768</v>
      </c>
      <c r="F103" s="40">
        <v>6768</v>
      </c>
      <c r="G103" s="40"/>
      <c r="H103" s="1300">
        <v>38</v>
      </c>
      <c r="I103" s="1297">
        <v>281047</v>
      </c>
      <c r="J103" s="1302">
        <v>6851</v>
      </c>
      <c r="K103" s="1296">
        <v>6851</v>
      </c>
      <c r="L103" s="40"/>
      <c r="M103" s="5">
        <v>38</v>
      </c>
      <c r="N103" s="1288">
        <f t="shared" si="9"/>
        <v>289578</v>
      </c>
      <c r="O103" s="1288">
        <f t="shared" si="6"/>
        <v>7059</v>
      </c>
      <c r="P103" s="1288">
        <f t="shared" si="8"/>
        <v>7059</v>
      </c>
      <c r="Q103" s="1288"/>
    </row>
    <row r="104" spans="1:17" s="2" customFormat="1" ht="13.8" x14ac:dyDescent="0.3">
      <c r="A104" s="3">
        <f>+A103+1</f>
        <v>39</v>
      </c>
      <c r="B104" s="3">
        <f t="shared" si="10"/>
        <v>4380</v>
      </c>
      <c r="C104" s="5">
        <v>39</v>
      </c>
      <c r="D104" s="767">
        <v>284411</v>
      </c>
      <c r="E104" s="40">
        <v>6768</v>
      </c>
      <c r="F104" s="40">
        <v>6768</v>
      </c>
      <c r="G104" s="40"/>
      <c r="H104" s="1300">
        <v>39</v>
      </c>
      <c r="I104" s="1297">
        <v>287898</v>
      </c>
      <c r="J104" s="1302">
        <v>6851</v>
      </c>
      <c r="K104" s="1296">
        <v>6851</v>
      </c>
      <c r="L104" s="40"/>
      <c r="M104" s="5">
        <v>39</v>
      </c>
      <c r="N104" s="1288">
        <f t="shared" si="9"/>
        <v>296637</v>
      </c>
      <c r="O104" s="1288">
        <f t="shared" si="6"/>
        <v>7059</v>
      </c>
      <c r="P104" s="1288">
        <f t="shared" si="8"/>
        <v>7059</v>
      </c>
      <c r="Q104" s="1288"/>
    </row>
    <row r="105" spans="1:17" s="2" customFormat="1" ht="13.8" x14ac:dyDescent="0.3">
      <c r="A105" s="3">
        <f>+A104+1</f>
        <v>40</v>
      </c>
      <c r="B105" s="3">
        <f t="shared" si="10"/>
        <v>4485</v>
      </c>
      <c r="C105" s="5">
        <v>40</v>
      </c>
      <c r="D105" s="767">
        <v>291179</v>
      </c>
      <c r="E105" s="40">
        <v>6768</v>
      </c>
      <c r="F105" s="40">
        <v>6768</v>
      </c>
      <c r="G105" s="40"/>
      <c r="H105" s="1300">
        <v>40</v>
      </c>
      <c r="I105" s="1297">
        <v>294749</v>
      </c>
      <c r="J105" s="1302">
        <v>6851</v>
      </c>
      <c r="K105" s="1296">
        <v>6851</v>
      </c>
      <c r="L105" s="40"/>
      <c r="M105" s="5">
        <v>40</v>
      </c>
      <c r="N105" s="1288">
        <f t="shared" si="9"/>
        <v>303696</v>
      </c>
      <c r="O105" s="1288">
        <f t="shared" si="6"/>
        <v>7059</v>
      </c>
      <c r="P105" s="1288">
        <f t="shared" si="8"/>
        <v>7059</v>
      </c>
      <c r="Q105" s="1288"/>
    </row>
    <row r="106" spans="1:17" s="2" customFormat="1" ht="13.8" x14ac:dyDescent="0.3">
      <c r="A106" s="3">
        <v>41</v>
      </c>
      <c r="B106" s="3">
        <f t="shared" si="10"/>
        <v>4590</v>
      </c>
      <c r="C106" s="5">
        <v>41</v>
      </c>
      <c r="D106" s="767">
        <v>297947</v>
      </c>
      <c r="E106" s="40">
        <v>6768</v>
      </c>
      <c r="F106" s="40">
        <v>6768</v>
      </c>
      <c r="G106" s="40"/>
      <c r="H106" s="1300">
        <v>41</v>
      </c>
      <c r="I106" s="1297">
        <v>301600</v>
      </c>
      <c r="J106" s="1302">
        <v>6851</v>
      </c>
      <c r="K106" s="1296">
        <v>6851</v>
      </c>
      <c r="L106" s="40"/>
      <c r="M106" s="5">
        <v>41</v>
      </c>
      <c r="N106" s="1288">
        <f t="shared" si="9"/>
        <v>310755</v>
      </c>
      <c r="O106" s="1288">
        <f t="shared" si="6"/>
        <v>7059</v>
      </c>
      <c r="P106" s="1288">
        <f t="shared" si="8"/>
        <v>7059</v>
      </c>
      <c r="Q106" s="1288"/>
    </row>
    <row r="107" spans="1:17" s="2" customFormat="1" ht="13.8" x14ac:dyDescent="0.3">
      <c r="A107" s="3">
        <v>42</v>
      </c>
      <c r="B107" s="3">
        <f t="shared" si="10"/>
        <v>4695</v>
      </c>
      <c r="C107" s="5">
        <v>42</v>
      </c>
      <c r="D107" s="767">
        <v>304715</v>
      </c>
      <c r="E107" s="40">
        <v>6768</v>
      </c>
      <c r="F107" s="40">
        <v>6768</v>
      </c>
      <c r="G107" s="40"/>
      <c r="H107" s="1300">
        <v>42</v>
      </c>
      <c r="I107" s="1297">
        <v>308451</v>
      </c>
      <c r="J107" s="1302">
        <v>6851</v>
      </c>
      <c r="K107" s="1296">
        <v>6851</v>
      </c>
      <c r="L107" s="40"/>
      <c r="M107" s="5">
        <v>42</v>
      </c>
      <c r="N107" s="1288">
        <f t="shared" si="9"/>
        <v>317814</v>
      </c>
      <c r="O107" s="1288">
        <f t="shared" si="6"/>
        <v>7059</v>
      </c>
      <c r="P107" s="1288">
        <f t="shared" si="8"/>
        <v>7059</v>
      </c>
      <c r="Q107" s="1288"/>
    </row>
    <row r="108" spans="1:17" s="2" customFormat="1" ht="13.8" x14ac:dyDescent="0.3">
      <c r="A108" s="3">
        <v>43</v>
      </c>
      <c r="B108" s="3">
        <f t="shared" si="10"/>
        <v>4800</v>
      </c>
      <c r="C108" s="5">
        <v>43</v>
      </c>
      <c r="D108" s="767">
        <v>311483</v>
      </c>
      <c r="E108" s="40">
        <v>6768</v>
      </c>
      <c r="F108" s="40">
        <v>6768</v>
      </c>
      <c r="G108" s="40"/>
      <c r="H108" s="1300">
        <v>43</v>
      </c>
      <c r="I108" s="1297">
        <v>315302</v>
      </c>
      <c r="J108" s="1302">
        <v>6851</v>
      </c>
      <c r="K108" s="1296">
        <v>6851</v>
      </c>
      <c r="L108" s="40"/>
      <c r="M108" s="5">
        <v>43</v>
      </c>
      <c r="N108" s="1288">
        <f t="shared" si="9"/>
        <v>324873</v>
      </c>
      <c r="O108" s="1288">
        <f t="shared" si="6"/>
        <v>7059</v>
      </c>
      <c r="P108" s="1288">
        <f t="shared" si="8"/>
        <v>7059</v>
      </c>
      <c r="Q108" s="1288"/>
    </row>
    <row r="109" spans="1:17" s="2" customFormat="1" ht="13.8" x14ac:dyDescent="0.3">
      <c r="A109" s="3">
        <v>44</v>
      </c>
      <c r="B109" s="3">
        <f t="shared" si="10"/>
        <v>4905</v>
      </c>
      <c r="C109" s="5">
        <v>44</v>
      </c>
      <c r="D109" s="767">
        <v>318251</v>
      </c>
      <c r="E109" s="40">
        <v>6768</v>
      </c>
      <c r="F109" s="40">
        <v>6768</v>
      </c>
      <c r="G109" s="40"/>
      <c r="H109" s="1300">
        <v>44</v>
      </c>
      <c r="I109" s="1297">
        <v>322153</v>
      </c>
      <c r="J109" s="1302">
        <v>6851</v>
      </c>
      <c r="K109" s="1296">
        <v>6851</v>
      </c>
      <c r="L109" s="40"/>
      <c r="M109" s="5">
        <v>44</v>
      </c>
      <c r="N109" s="1288">
        <f t="shared" si="9"/>
        <v>331932</v>
      </c>
      <c r="O109" s="1288">
        <f t="shared" si="6"/>
        <v>7059</v>
      </c>
      <c r="P109" s="1288">
        <f t="shared" si="8"/>
        <v>7059</v>
      </c>
      <c r="Q109" s="1288"/>
    </row>
    <row r="110" spans="1:17" s="2" customFormat="1" ht="13.8" x14ac:dyDescent="0.3">
      <c r="A110" s="3">
        <v>45</v>
      </c>
      <c r="B110" s="3">
        <f t="shared" si="10"/>
        <v>5010</v>
      </c>
      <c r="C110" s="5">
        <v>45</v>
      </c>
      <c r="D110" s="767">
        <v>325019</v>
      </c>
      <c r="E110" s="40">
        <v>6768</v>
      </c>
      <c r="F110" s="40">
        <v>6768</v>
      </c>
      <c r="G110" s="40"/>
      <c r="H110" s="1300">
        <v>45</v>
      </c>
      <c r="I110" s="1297">
        <v>329004</v>
      </c>
      <c r="J110" s="1302">
        <v>6851</v>
      </c>
      <c r="K110" s="1296">
        <v>6851</v>
      </c>
      <c r="L110" s="40"/>
      <c r="M110" s="5">
        <v>45</v>
      </c>
      <c r="N110" s="1288">
        <f t="shared" si="9"/>
        <v>338991</v>
      </c>
      <c r="O110" s="1288">
        <f t="shared" si="6"/>
        <v>7059</v>
      </c>
      <c r="P110" s="1288">
        <f t="shared" si="8"/>
        <v>7059</v>
      </c>
      <c r="Q110" s="1288"/>
    </row>
    <row r="111" spans="1:17" s="2" customFormat="1" ht="13.8" x14ac:dyDescent="0.3">
      <c r="A111" s="3">
        <v>46</v>
      </c>
      <c r="B111" s="3">
        <f t="shared" si="10"/>
        <v>5115</v>
      </c>
      <c r="C111" s="5">
        <v>46</v>
      </c>
      <c r="D111" s="767">
        <v>331787</v>
      </c>
      <c r="E111" s="40">
        <v>6768</v>
      </c>
      <c r="F111" s="40">
        <v>6768</v>
      </c>
      <c r="G111" s="40"/>
      <c r="H111" s="1300">
        <v>46</v>
      </c>
      <c r="I111" s="1297">
        <v>335855</v>
      </c>
      <c r="J111" s="1302">
        <v>6851</v>
      </c>
      <c r="K111" s="1296">
        <v>6851</v>
      </c>
      <c r="L111" s="40"/>
      <c r="M111" s="5">
        <v>46</v>
      </c>
      <c r="N111" s="1288">
        <f t="shared" si="9"/>
        <v>346050</v>
      </c>
      <c r="O111" s="1288">
        <f t="shared" si="6"/>
        <v>7059</v>
      </c>
      <c r="P111" s="1288">
        <f t="shared" si="8"/>
        <v>7059</v>
      </c>
      <c r="Q111" s="1288"/>
    </row>
    <row r="112" spans="1:17" s="2" customFormat="1" ht="13.8" x14ac:dyDescent="0.3">
      <c r="A112" s="3">
        <v>47</v>
      </c>
      <c r="B112" s="3">
        <f t="shared" si="10"/>
        <v>5220</v>
      </c>
      <c r="C112" s="5">
        <v>47</v>
      </c>
      <c r="D112" s="767">
        <v>338555</v>
      </c>
      <c r="E112" s="40">
        <v>6768</v>
      </c>
      <c r="F112" s="40">
        <v>6768</v>
      </c>
      <c r="G112" s="40"/>
      <c r="H112" s="1300">
        <v>47</v>
      </c>
      <c r="I112" s="1297">
        <v>342706</v>
      </c>
      <c r="J112" s="1302">
        <v>6851</v>
      </c>
      <c r="K112" s="1296">
        <v>6851</v>
      </c>
      <c r="L112" s="40"/>
      <c r="M112" s="5">
        <v>47</v>
      </c>
      <c r="N112" s="1288">
        <f t="shared" si="9"/>
        <v>353109</v>
      </c>
      <c r="O112" s="1288">
        <f t="shared" si="6"/>
        <v>7059</v>
      </c>
      <c r="P112" s="1288">
        <f t="shared" si="8"/>
        <v>7059</v>
      </c>
      <c r="Q112" s="1288"/>
    </row>
    <row r="113" spans="1:17" s="2" customFormat="1" ht="13.8" x14ac:dyDescent="0.3">
      <c r="A113" s="3">
        <v>48</v>
      </c>
      <c r="B113" s="3">
        <f t="shared" si="10"/>
        <v>5325</v>
      </c>
      <c r="C113" s="5">
        <v>48</v>
      </c>
      <c r="D113" s="767">
        <v>345323</v>
      </c>
      <c r="E113" s="40">
        <v>6768</v>
      </c>
      <c r="F113" s="40">
        <v>6768</v>
      </c>
      <c r="G113" s="40"/>
      <c r="H113" s="1300">
        <v>48</v>
      </c>
      <c r="I113" s="1297">
        <v>349557</v>
      </c>
      <c r="J113" s="1302">
        <v>6851</v>
      </c>
      <c r="K113" s="1296">
        <v>6851</v>
      </c>
      <c r="L113" s="40"/>
      <c r="M113" s="5">
        <v>48</v>
      </c>
      <c r="N113" s="1288">
        <f t="shared" si="9"/>
        <v>360168</v>
      </c>
      <c r="O113" s="1288">
        <f t="shared" si="6"/>
        <v>7059</v>
      </c>
      <c r="P113" s="1288">
        <f t="shared" si="8"/>
        <v>7059</v>
      </c>
      <c r="Q113" s="1288"/>
    </row>
    <row r="114" spans="1:17" s="2" customFormat="1" ht="13.8" x14ac:dyDescent="0.3">
      <c r="A114" s="3">
        <v>49</v>
      </c>
      <c r="B114" s="3">
        <f t="shared" si="10"/>
        <v>5430</v>
      </c>
      <c r="C114" s="5">
        <v>49</v>
      </c>
      <c r="D114" s="767">
        <v>352091</v>
      </c>
      <c r="E114" s="40">
        <v>6768</v>
      </c>
      <c r="F114" s="40">
        <v>6768</v>
      </c>
      <c r="G114" s="40"/>
      <c r="H114" s="1300">
        <v>49</v>
      </c>
      <c r="I114" s="1297">
        <v>356408</v>
      </c>
      <c r="J114" s="1302">
        <v>6851</v>
      </c>
      <c r="K114" s="1296">
        <v>6851</v>
      </c>
      <c r="L114" s="40"/>
      <c r="M114" s="5">
        <v>49</v>
      </c>
      <c r="N114" s="1288">
        <f t="shared" si="9"/>
        <v>367227</v>
      </c>
      <c r="O114" s="1288">
        <f t="shared" si="6"/>
        <v>7059</v>
      </c>
      <c r="P114" s="1288">
        <f t="shared" si="8"/>
        <v>7059</v>
      </c>
      <c r="Q114" s="1288"/>
    </row>
    <row r="115" spans="1:17" s="2" customFormat="1" ht="13.8" x14ac:dyDescent="0.3">
      <c r="A115" s="3">
        <v>50</v>
      </c>
      <c r="B115" s="3">
        <f t="shared" si="10"/>
        <v>5535</v>
      </c>
      <c r="C115" s="5">
        <v>50</v>
      </c>
      <c r="D115" s="767">
        <v>358859</v>
      </c>
      <c r="E115" s="40">
        <v>6768</v>
      </c>
      <c r="F115" s="40">
        <v>6768</v>
      </c>
      <c r="G115" s="40"/>
      <c r="H115" s="1300">
        <v>50</v>
      </c>
      <c r="I115" s="1297">
        <v>363259</v>
      </c>
      <c r="J115" s="1302">
        <v>6851</v>
      </c>
      <c r="K115" s="1296">
        <v>6851</v>
      </c>
      <c r="L115" s="40"/>
      <c r="M115" s="5">
        <v>50</v>
      </c>
      <c r="N115" s="1288">
        <f t="shared" si="9"/>
        <v>374286</v>
      </c>
      <c r="O115" s="1288">
        <f t="shared" si="6"/>
        <v>7059</v>
      </c>
      <c r="P115" s="1288">
        <f t="shared" si="8"/>
        <v>7059</v>
      </c>
      <c r="Q115" s="1288"/>
    </row>
    <row r="116" spans="1:17" s="2" customFormat="1" ht="12.75" customHeight="1" x14ac:dyDescent="0.3">
      <c r="A116" s="6"/>
      <c r="B116" s="822"/>
      <c r="C116" s="6"/>
    </row>
    <row r="117" spans="1:17" s="3" customFormat="1" ht="13.8" x14ac:dyDescent="0.3">
      <c r="B117" s="821"/>
    </row>
    <row r="118" spans="1:17" s="3" customFormat="1" ht="13.8" x14ac:dyDescent="0.3">
      <c r="B118" s="821"/>
      <c r="H118" s="768"/>
      <c r="J118" s="769"/>
    </row>
    <row r="119" spans="1:17" s="3" customFormat="1" ht="13.8" x14ac:dyDescent="0.3">
      <c r="B119" s="821"/>
      <c r="H119" s="768"/>
      <c r="J119" s="769"/>
    </row>
    <row r="120" spans="1:17" s="3" customFormat="1" ht="13.8" x14ac:dyDescent="0.3">
      <c r="B120" s="821"/>
      <c r="H120" s="768"/>
      <c r="J120" s="770"/>
    </row>
    <row r="121" spans="1:17" s="3" customFormat="1" ht="13.8" x14ac:dyDescent="0.3">
      <c r="B121" s="821"/>
    </row>
    <row r="122" spans="1:17" s="3" customFormat="1" ht="13.8" x14ac:dyDescent="0.3">
      <c r="B122" s="821"/>
    </row>
    <row r="123" spans="1:17" s="3" customFormat="1" ht="13.8" x14ac:dyDescent="0.3">
      <c r="B123" s="821"/>
    </row>
    <row r="124" spans="1:17" s="3" customFormat="1" ht="13.8" x14ac:dyDescent="0.3">
      <c r="A124" s="771"/>
      <c r="B124" s="821"/>
    </row>
    <row r="125" spans="1:17" s="3" customFormat="1" ht="13.8" x14ac:dyDescent="0.3">
      <c r="A125" s="771"/>
      <c r="B125" s="821"/>
    </row>
    <row r="126" spans="1:17" s="3" customFormat="1" ht="13.8" x14ac:dyDescent="0.3">
      <c r="A126" s="771"/>
      <c r="B126" s="821"/>
    </row>
    <row r="127" spans="1:17" s="3" customFormat="1" ht="13.8" x14ac:dyDescent="0.3">
      <c r="A127" s="771"/>
      <c r="B127" s="821"/>
    </row>
    <row r="128" spans="1:17" s="3" customFormat="1" ht="13.8" x14ac:dyDescent="0.3">
      <c r="A128" s="771"/>
      <c r="B128" s="821"/>
    </row>
    <row r="129" spans="1:7" s="3" customFormat="1" ht="13.8" x14ac:dyDescent="0.3">
      <c r="A129" s="771"/>
      <c r="B129" s="821"/>
    </row>
    <row r="130" spans="1:7" s="3" customFormat="1" ht="13.8" x14ac:dyDescent="0.3">
      <c r="A130" s="771"/>
      <c r="B130" s="821"/>
    </row>
    <row r="131" spans="1:7" s="3" customFormat="1" ht="13.8" x14ac:dyDescent="0.3">
      <c r="A131" s="771"/>
      <c r="B131" s="821"/>
    </row>
    <row r="132" spans="1:7" s="793" customFormat="1" ht="13.8" x14ac:dyDescent="0.3">
      <c r="A132" s="29"/>
      <c r="B132" s="821"/>
    </row>
    <row r="133" spans="1:7" s="793" customFormat="1" ht="13.8" x14ac:dyDescent="0.3">
      <c r="A133" s="29"/>
      <c r="B133" s="821"/>
    </row>
    <row r="134" spans="1:7" s="793" customFormat="1" ht="13.8" x14ac:dyDescent="0.3">
      <c r="B134" s="821"/>
    </row>
    <row r="135" spans="1:7" s="793" customFormat="1" ht="13.8" x14ac:dyDescent="0.3">
      <c r="A135" s="1325"/>
      <c r="B135" s="1325"/>
      <c r="C135" s="1325"/>
      <c r="D135" s="1325"/>
    </row>
    <row r="136" spans="1:7" s="793" customFormat="1" ht="13.8" x14ac:dyDescent="0.3">
      <c r="A136" s="30"/>
      <c r="B136" s="821"/>
      <c r="C136" s="30"/>
      <c r="D136" s="31"/>
      <c r="E136" s="31"/>
      <c r="F136" s="31"/>
      <c r="G136" s="31"/>
    </row>
    <row r="137" spans="1:7" s="793" customFormat="1" ht="13.8" x14ac:dyDescent="0.3">
      <c r="A137" s="30"/>
      <c r="B137" s="821"/>
      <c r="C137" s="30"/>
      <c r="D137" s="30"/>
      <c r="E137" s="30"/>
      <c r="F137" s="30"/>
      <c r="G137" s="30"/>
    </row>
    <row r="138" spans="1:7" s="793" customFormat="1" ht="13.8" x14ac:dyDescent="0.3">
      <c r="A138" s="30"/>
      <c r="B138" s="821"/>
      <c r="C138" s="30"/>
      <c r="D138" s="30"/>
      <c r="E138" s="30"/>
      <c r="F138" s="30"/>
      <c r="G138" s="30"/>
    </row>
    <row r="139" spans="1:7" s="793" customFormat="1" ht="13.8" x14ac:dyDescent="0.3">
      <c r="A139" s="30"/>
      <c r="B139" s="821"/>
      <c r="C139" s="30"/>
      <c r="D139" s="30"/>
      <c r="E139" s="30"/>
      <c r="F139" s="30"/>
      <c r="G139" s="30"/>
    </row>
    <row r="140" spans="1:7" s="793" customFormat="1" ht="13.8" x14ac:dyDescent="0.3">
      <c r="A140" s="30"/>
      <c r="B140" s="821"/>
      <c r="C140" s="32"/>
      <c r="D140" s="32"/>
      <c r="E140" s="32"/>
      <c r="F140" s="32"/>
      <c r="G140" s="32"/>
    </row>
    <row r="141" spans="1:7" s="793" customFormat="1" ht="13.8" x14ac:dyDescent="0.3">
      <c r="A141" s="30"/>
      <c r="B141" s="821"/>
      <c r="C141" s="32"/>
      <c r="D141" s="32"/>
      <c r="E141" s="32"/>
      <c r="F141" s="32"/>
      <c r="G141" s="32"/>
    </row>
    <row r="142" spans="1:7" s="793" customFormat="1" ht="13.8" x14ac:dyDescent="0.3">
      <c r="A142" s="30"/>
      <c r="B142" s="821"/>
      <c r="C142" s="32"/>
      <c r="D142" s="32"/>
      <c r="E142" s="32"/>
      <c r="F142" s="32"/>
      <c r="G142" s="32"/>
    </row>
    <row r="143" spans="1:7" s="793" customFormat="1" ht="13.8" x14ac:dyDescent="0.3">
      <c r="A143" s="30"/>
      <c r="B143" s="821"/>
      <c r="C143" s="32"/>
      <c r="D143" s="32"/>
      <c r="E143" s="32"/>
      <c r="F143" s="32"/>
      <c r="G143" s="32"/>
    </row>
    <row r="144" spans="1:7" s="793" customFormat="1" ht="13.8" x14ac:dyDescent="0.3">
      <c r="A144" s="30"/>
      <c r="B144" s="821"/>
      <c r="C144" s="32"/>
      <c r="D144" s="32"/>
      <c r="E144" s="32"/>
      <c r="F144" s="32"/>
      <c r="G144" s="32"/>
    </row>
    <row r="145" spans="1:7" s="793" customFormat="1" ht="13.8" x14ac:dyDescent="0.3">
      <c r="A145" s="30"/>
      <c r="B145" s="821"/>
      <c r="C145" s="32"/>
      <c r="D145" s="32"/>
      <c r="E145" s="32"/>
      <c r="F145" s="32"/>
      <c r="G145" s="32"/>
    </row>
    <row r="146" spans="1:7" s="793" customFormat="1" ht="13.8" x14ac:dyDescent="0.3">
      <c r="A146" s="29"/>
      <c r="B146" s="821"/>
      <c r="C146" s="32"/>
      <c r="D146" s="32"/>
      <c r="E146" s="32"/>
      <c r="F146" s="32"/>
      <c r="G146" s="32"/>
    </row>
    <row r="147" spans="1:7" s="793" customFormat="1" ht="13.8" x14ac:dyDescent="0.3">
      <c r="A147" s="29"/>
      <c r="B147" s="821"/>
      <c r="C147" s="32"/>
      <c r="D147" s="32"/>
      <c r="E147" s="32"/>
      <c r="F147" s="32"/>
      <c r="G147" s="32"/>
    </row>
    <row r="148" spans="1:7" s="793" customFormat="1" ht="13.8" x14ac:dyDescent="0.3">
      <c r="A148" s="29"/>
      <c r="B148" s="821"/>
      <c r="C148" s="32"/>
      <c r="D148" s="32"/>
      <c r="E148" s="32"/>
      <c r="F148" s="32"/>
      <c r="G148" s="32"/>
    </row>
    <row r="149" spans="1:7" s="793" customFormat="1" ht="13.8" x14ac:dyDescent="0.3">
      <c r="A149" s="30"/>
      <c r="B149" s="821"/>
      <c r="C149" s="32"/>
      <c r="D149" s="32"/>
      <c r="E149" s="32"/>
      <c r="F149" s="32"/>
      <c r="G149" s="32"/>
    </row>
    <row r="150" spans="1:7" s="793" customFormat="1" ht="13.8" x14ac:dyDescent="0.3">
      <c r="A150" s="30"/>
      <c r="B150" s="821"/>
      <c r="C150" s="32"/>
      <c r="D150" s="32"/>
      <c r="E150" s="32"/>
      <c r="F150" s="32"/>
      <c r="G150" s="32"/>
    </row>
    <row r="151" spans="1:7" s="793" customFormat="1" ht="13.8" x14ac:dyDescent="0.3">
      <c r="A151" s="30"/>
      <c r="B151" s="821"/>
      <c r="C151" s="32"/>
      <c r="D151" s="32"/>
      <c r="E151" s="32"/>
      <c r="F151" s="32"/>
      <c r="G151" s="32"/>
    </row>
    <row r="152" spans="1:7" s="793" customFormat="1" ht="13.8" x14ac:dyDescent="0.3">
      <c r="A152" s="30"/>
      <c r="B152" s="821"/>
      <c r="C152" s="32"/>
      <c r="D152" s="32"/>
      <c r="E152" s="32"/>
      <c r="F152" s="32"/>
      <c r="G152" s="32"/>
    </row>
    <row r="153" spans="1:7" s="793" customFormat="1" ht="13.8" x14ac:dyDescent="0.3">
      <c r="B153" s="821"/>
    </row>
    <row r="154" spans="1:7" s="793" customFormat="1" ht="13.8" x14ac:dyDescent="0.3">
      <c r="B154" s="821"/>
    </row>
    <row r="155" spans="1:7" s="793" customFormat="1" ht="13.8" x14ac:dyDescent="0.3">
      <c r="A155" s="24"/>
      <c r="B155" s="821"/>
    </row>
    <row r="156" spans="1:7" s="793" customFormat="1" ht="13.8" x14ac:dyDescent="0.3">
      <c r="A156" s="32"/>
      <c r="B156" s="821"/>
      <c r="C156" s="32"/>
      <c r="D156" s="33"/>
      <c r="E156" s="33"/>
      <c r="F156" s="33"/>
      <c r="G156" s="31"/>
    </row>
    <row r="157" spans="1:7" s="793" customFormat="1" ht="13.8" x14ac:dyDescent="0.3">
      <c r="A157" s="32"/>
      <c r="B157" s="821"/>
      <c r="C157" s="32"/>
      <c r="D157" s="32"/>
      <c r="E157" s="32"/>
      <c r="F157" s="32"/>
      <c r="G157" s="32"/>
    </row>
    <row r="158" spans="1:7" s="793" customFormat="1" ht="13.8" x14ac:dyDescent="0.3">
      <c r="A158" s="30"/>
      <c r="B158" s="821"/>
      <c r="C158" s="30"/>
      <c r="D158" s="30"/>
      <c r="E158" s="30"/>
      <c r="F158" s="30"/>
      <c r="G158" s="30"/>
    </row>
    <row r="159" spans="1:7" s="793" customFormat="1" ht="13.8" x14ac:dyDescent="0.3">
      <c r="A159" s="30"/>
      <c r="B159" s="821"/>
      <c r="C159" s="30"/>
      <c r="D159" s="30"/>
      <c r="E159" s="30"/>
      <c r="F159" s="30"/>
      <c r="G159" s="30"/>
    </row>
    <row r="160" spans="1:7" s="793" customFormat="1" ht="13.8" x14ac:dyDescent="0.3">
      <c r="A160" s="32"/>
      <c r="B160" s="821"/>
      <c r="C160" s="32"/>
      <c r="D160" s="32"/>
      <c r="E160" s="32"/>
      <c r="F160" s="32"/>
      <c r="G160" s="32"/>
    </row>
    <row r="161" spans="1:7" s="793" customFormat="1" ht="13.8" x14ac:dyDescent="0.3">
      <c r="A161" s="32"/>
      <c r="B161" s="821"/>
      <c r="C161" s="32"/>
      <c r="D161" s="32"/>
      <c r="E161" s="32"/>
      <c r="F161" s="32"/>
      <c r="G161" s="32"/>
    </row>
    <row r="162" spans="1:7" s="793" customFormat="1" ht="13.8" x14ac:dyDescent="0.3">
      <c r="A162" s="32"/>
      <c r="B162" s="821"/>
      <c r="C162" s="32"/>
      <c r="D162" s="32"/>
      <c r="E162" s="32"/>
      <c r="F162" s="32"/>
      <c r="G162" s="32"/>
    </row>
    <row r="163" spans="1:7" s="793" customFormat="1" ht="13.8" x14ac:dyDescent="0.3">
      <c r="A163" s="32"/>
      <c r="B163" s="821"/>
      <c r="C163" s="32"/>
      <c r="D163" s="32"/>
      <c r="E163" s="32"/>
      <c r="F163" s="32"/>
      <c r="G163" s="32"/>
    </row>
    <row r="164" spans="1:7" s="793" customFormat="1" ht="13.8" x14ac:dyDescent="0.3">
      <c r="A164" s="32"/>
      <c r="B164" s="821"/>
      <c r="C164" s="32"/>
      <c r="D164" s="32"/>
      <c r="E164" s="32"/>
      <c r="F164" s="32"/>
      <c r="G164" s="32"/>
    </row>
    <row r="165" spans="1:7" s="793" customFormat="1" ht="13.8" x14ac:dyDescent="0.3">
      <c r="A165" s="32"/>
      <c r="B165" s="821"/>
      <c r="C165" s="32"/>
      <c r="D165" s="32"/>
      <c r="E165" s="32"/>
      <c r="F165" s="32"/>
      <c r="G165" s="32"/>
    </row>
    <row r="166" spans="1:7" s="793" customFormat="1" ht="13.8" x14ac:dyDescent="0.3">
      <c r="A166" s="29"/>
      <c r="B166" s="821"/>
      <c r="C166" s="32"/>
      <c r="D166" s="32"/>
      <c r="E166" s="32"/>
      <c r="F166" s="32"/>
      <c r="G166" s="32"/>
    </row>
    <row r="167" spans="1:7" s="793" customFormat="1" ht="13.8" x14ac:dyDescent="0.3">
      <c r="A167" s="29"/>
      <c r="B167" s="821"/>
      <c r="C167" s="32"/>
      <c r="D167" s="32"/>
      <c r="E167" s="32"/>
      <c r="F167" s="32"/>
      <c r="G167" s="32"/>
    </row>
    <row r="168" spans="1:7" s="793" customFormat="1" ht="13.8" x14ac:dyDescent="0.3">
      <c r="A168" s="29"/>
      <c r="B168" s="821"/>
      <c r="C168" s="32"/>
      <c r="D168" s="32"/>
      <c r="E168" s="32"/>
      <c r="F168" s="32"/>
      <c r="G168" s="32"/>
    </row>
    <row r="169" spans="1:7" s="793" customFormat="1" ht="13.8" x14ac:dyDescent="0.3">
      <c r="A169" s="32"/>
      <c r="B169" s="821"/>
      <c r="C169" s="32"/>
      <c r="D169" s="32"/>
      <c r="E169" s="32"/>
      <c r="F169" s="32"/>
      <c r="G169" s="32"/>
    </row>
    <row r="170" spans="1:7" s="793" customFormat="1" ht="13.8" x14ac:dyDescent="0.3">
      <c r="A170" s="32"/>
      <c r="B170" s="821"/>
      <c r="C170" s="32"/>
      <c r="D170" s="32"/>
      <c r="E170" s="32"/>
      <c r="F170" s="32"/>
      <c r="G170" s="32"/>
    </row>
    <row r="171" spans="1:7" s="793" customFormat="1" ht="13.8" x14ac:dyDescent="0.3">
      <c r="A171" s="32"/>
      <c r="B171" s="821"/>
      <c r="C171" s="32"/>
      <c r="D171" s="32"/>
      <c r="E171" s="32"/>
      <c r="F171" s="32"/>
      <c r="G171" s="32"/>
    </row>
    <row r="172" spans="1:7" s="793" customFormat="1" ht="13.8" x14ac:dyDescent="0.3">
      <c r="A172" s="32"/>
      <c r="B172" s="821"/>
      <c r="C172" s="32"/>
      <c r="D172" s="32"/>
      <c r="E172" s="32"/>
      <c r="F172" s="32"/>
      <c r="G172" s="32"/>
    </row>
    <row r="173" spans="1:7" s="793" customFormat="1" ht="13.8" x14ac:dyDescent="0.3">
      <c r="B173" s="821"/>
    </row>
    <row r="174" spans="1:7" s="793" customFormat="1" ht="13.8" x14ac:dyDescent="0.3">
      <c r="B174" s="821"/>
    </row>
    <row r="175" spans="1:7" s="793" customFormat="1" ht="13.8" x14ac:dyDescent="0.3">
      <c r="B175" s="821"/>
      <c r="C175" s="22"/>
    </row>
    <row r="176" spans="1:7" s="793" customFormat="1" ht="13.8" x14ac:dyDescent="0.3">
      <c r="B176" s="821"/>
      <c r="C176" s="28"/>
    </row>
    <row r="177" spans="1:3" s="793" customFormat="1" ht="13.8" x14ac:dyDescent="0.3">
      <c r="B177" s="821"/>
      <c r="C177" s="28"/>
    </row>
    <row r="178" spans="1:3" s="793" customFormat="1" ht="13.8" x14ac:dyDescent="0.3">
      <c r="A178" s="29"/>
      <c r="B178" s="821"/>
      <c r="C178" s="25"/>
    </row>
    <row r="179" spans="1:3" s="793" customFormat="1" ht="13.8" x14ac:dyDescent="0.3">
      <c r="A179" s="29"/>
      <c r="B179" s="821"/>
      <c r="C179" s="25"/>
    </row>
    <row r="180" spans="1:3" s="793" customFormat="1" ht="13.8" x14ac:dyDescent="0.3">
      <c r="A180" s="29"/>
      <c r="B180" s="821"/>
      <c r="C180" s="25"/>
    </row>
    <row r="181" spans="1:3" s="793" customFormat="1" ht="13.8" x14ac:dyDescent="0.3">
      <c r="A181" s="29"/>
      <c r="B181" s="821"/>
      <c r="C181" s="25"/>
    </row>
    <row r="182" spans="1:3" s="793" customFormat="1" ht="13.8" x14ac:dyDescent="0.3">
      <c r="A182" s="29"/>
      <c r="B182" s="821"/>
      <c r="C182" s="25"/>
    </row>
    <row r="183" spans="1:3" s="793" customFormat="1" ht="13.8" x14ac:dyDescent="0.3">
      <c r="A183" s="29"/>
      <c r="B183" s="821"/>
      <c r="C183" s="25"/>
    </row>
    <row r="184" spans="1:3" s="793" customFormat="1" ht="13.8" x14ac:dyDescent="0.3">
      <c r="A184" s="29"/>
      <c r="B184" s="821"/>
      <c r="C184" s="25"/>
    </row>
    <row r="185" spans="1:3" s="793" customFormat="1" ht="13.8" x14ac:dyDescent="0.3">
      <c r="A185" s="29"/>
      <c r="B185" s="821"/>
      <c r="C185" s="25"/>
    </row>
    <row r="186" spans="1:3" s="793" customFormat="1" ht="13.8" x14ac:dyDescent="0.3">
      <c r="A186" s="29"/>
      <c r="B186" s="821"/>
      <c r="C186" s="25"/>
    </row>
    <row r="187" spans="1:3" s="793" customFormat="1" ht="13.8" x14ac:dyDescent="0.3">
      <c r="A187" s="29"/>
      <c r="B187" s="821"/>
      <c r="C187" s="25"/>
    </row>
    <row r="188" spans="1:3" s="793" customFormat="1" ht="13.8" x14ac:dyDescent="0.3">
      <c r="A188" s="29"/>
      <c r="B188" s="821"/>
      <c r="C188" s="25"/>
    </row>
    <row r="189" spans="1:3" s="793" customFormat="1" ht="13.8" x14ac:dyDescent="0.3">
      <c r="A189" s="29"/>
      <c r="B189" s="821"/>
      <c r="C189" s="25"/>
    </row>
    <row r="190" spans="1:3" s="793" customFormat="1" ht="13.8" x14ac:dyDescent="0.3">
      <c r="A190" s="29"/>
      <c r="B190" s="821"/>
      <c r="C190" s="25"/>
    </row>
    <row r="191" spans="1:3" s="793" customFormat="1" ht="13.8" x14ac:dyDescent="0.3">
      <c r="B191" s="821"/>
    </row>
    <row r="192" spans="1:3" s="793" customFormat="1" ht="13.8" x14ac:dyDescent="0.3">
      <c r="B192" s="821"/>
    </row>
    <row r="193" spans="1:10" s="793" customFormat="1" ht="13.8" x14ac:dyDescent="0.3">
      <c r="A193" s="26"/>
      <c r="B193" s="821"/>
      <c r="C193" s="24"/>
      <c r="D193" s="24"/>
      <c r="E193" s="24"/>
      <c r="F193" s="24"/>
    </row>
    <row r="194" spans="1:10" s="793" customFormat="1" ht="13.8" x14ac:dyDescent="0.3">
      <c r="A194" s="32"/>
      <c r="B194" s="821"/>
      <c r="C194" s="32"/>
      <c r="D194" s="32"/>
      <c r="E194" s="32"/>
      <c r="F194" s="32"/>
      <c r="G194" s="32"/>
      <c r="H194" s="32"/>
      <c r="I194" s="32"/>
      <c r="J194" s="32"/>
    </row>
    <row r="195" spans="1:10" s="793" customFormat="1" ht="13.8" x14ac:dyDescent="0.3">
      <c r="A195" s="30"/>
      <c r="B195" s="821"/>
      <c r="C195" s="34"/>
      <c r="D195" s="32"/>
      <c r="E195" s="32"/>
      <c r="F195" s="32"/>
      <c r="G195" s="32"/>
      <c r="H195" s="32"/>
      <c r="I195" s="32"/>
      <c r="J195" s="32"/>
    </row>
    <row r="196" spans="1:10" s="793" customFormat="1" ht="13.8" x14ac:dyDescent="0.3">
      <c r="A196" s="30"/>
      <c r="B196" s="821"/>
      <c r="C196" s="34"/>
      <c r="D196" s="32"/>
      <c r="E196" s="32"/>
      <c r="F196" s="32"/>
      <c r="G196" s="32"/>
      <c r="H196" s="32"/>
      <c r="I196" s="32"/>
      <c r="J196" s="32"/>
    </row>
    <row r="197" spans="1:10" s="793" customFormat="1" ht="13.8" x14ac:dyDescent="0.3">
      <c r="A197" s="32"/>
      <c r="B197" s="821"/>
      <c r="C197" s="32"/>
      <c r="D197" s="32"/>
      <c r="E197" s="32"/>
      <c r="F197" s="32"/>
      <c r="G197" s="32"/>
      <c r="H197" s="32"/>
      <c r="I197" s="32"/>
      <c r="J197" s="32"/>
    </row>
    <row r="198" spans="1:10" s="793" customFormat="1" ht="13.8" x14ac:dyDescent="0.3">
      <c r="A198" s="32"/>
      <c r="B198" s="821"/>
      <c r="C198" s="32"/>
      <c r="D198" s="32"/>
      <c r="E198" s="32"/>
      <c r="F198" s="32"/>
      <c r="G198" s="32"/>
      <c r="H198" s="32"/>
      <c r="I198" s="32"/>
      <c r="J198" s="32"/>
    </row>
    <row r="199" spans="1:10" s="793" customFormat="1" ht="13.8" x14ac:dyDescent="0.3">
      <c r="A199" s="32"/>
      <c r="B199" s="821"/>
      <c r="C199" s="32"/>
      <c r="D199" s="32"/>
      <c r="E199" s="32"/>
      <c r="F199" s="32"/>
      <c r="G199" s="32"/>
      <c r="H199" s="32"/>
      <c r="I199" s="32"/>
      <c r="J199" s="32"/>
    </row>
    <row r="200" spans="1:10" s="793" customFormat="1" ht="13.8" x14ac:dyDescent="0.3">
      <c r="A200" s="32"/>
      <c r="B200" s="821"/>
      <c r="C200" s="32"/>
      <c r="D200" s="32"/>
      <c r="E200" s="35"/>
      <c r="F200" s="32"/>
      <c r="G200" s="32"/>
      <c r="H200" s="35"/>
      <c r="I200" s="28"/>
      <c r="J200" s="28"/>
    </row>
    <row r="201" spans="1:10" s="793" customFormat="1" ht="13.8" x14ac:dyDescent="0.3">
      <c r="A201" s="32"/>
      <c r="B201" s="821"/>
      <c r="C201" s="32"/>
      <c r="D201" s="32"/>
      <c r="E201" s="35"/>
      <c r="F201" s="32"/>
      <c r="G201" s="32"/>
      <c r="H201" s="35"/>
      <c r="I201" s="28"/>
      <c r="J201" s="28"/>
    </row>
    <row r="202" spans="1:10" s="793" customFormat="1" ht="13.8" x14ac:dyDescent="0.3">
      <c r="A202" s="32"/>
      <c r="B202" s="821"/>
      <c r="C202" s="32"/>
    </row>
    <row r="203" spans="1:10" s="793" customFormat="1" ht="13.8" x14ac:dyDescent="0.3">
      <c r="A203" s="32"/>
      <c r="B203" s="821"/>
      <c r="C203" s="32"/>
    </row>
    <row r="204" spans="1:10" s="793" customFormat="1" ht="13.8" x14ac:dyDescent="0.3">
      <c r="A204" s="32"/>
      <c r="B204" s="821"/>
      <c r="C204" s="32"/>
    </row>
    <row r="205" spans="1:10" s="793" customFormat="1" ht="13.8" x14ac:dyDescent="0.3">
      <c r="A205" s="32"/>
      <c r="B205" s="821"/>
      <c r="C205" s="32"/>
    </row>
    <row r="206" spans="1:10" s="793" customFormat="1" ht="13.8" x14ac:dyDescent="0.3">
      <c r="A206" s="32"/>
      <c r="B206" s="821"/>
      <c r="C206" s="32"/>
      <c r="D206" s="32"/>
      <c r="E206" s="35"/>
      <c r="F206" s="32"/>
      <c r="G206" s="32"/>
      <c r="H206" s="35"/>
      <c r="I206" s="28"/>
      <c r="J206" s="28"/>
    </row>
    <row r="207" spans="1:10" s="793" customFormat="1" ht="13.8" x14ac:dyDescent="0.3">
      <c r="A207" s="32"/>
      <c r="B207" s="821"/>
      <c r="C207" s="32"/>
      <c r="D207" s="32"/>
      <c r="E207" s="35"/>
      <c r="F207" s="32"/>
      <c r="G207" s="32"/>
      <c r="H207" s="35"/>
      <c r="I207" s="28"/>
      <c r="J207" s="28"/>
    </row>
    <row r="208" spans="1:10" s="793" customFormat="1" ht="13.8" x14ac:dyDescent="0.3">
      <c r="A208" s="32"/>
      <c r="B208" s="821"/>
      <c r="C208" s="32"/>
      <c r="D208" s="32"/>
      <c r="E208" s="35"/>
      <c r="F208" s="32"/>
      <c r="G208" s="32"/>
      <c r="H208" s="35"/>
      <c r="I208" s="28"/>
      <c r="J208" s="28"/>
    </row>
    <row r="209" spans="1:10" s="793" customFormat="1" ht="13.8" x14ac:dyDescent="0.3">
      <c r="A209" s="32"/>
      <c r="B209" s="821"/>
      <c r="C209" s="32"/>
      <c r="D209" s="32"/>
      <c r="E209" s="35"/>
      <c r="F209" s="32"/>
      <c r="G209" s="32"/>
      <c r="H209" s="35"/>
      <c r="I209" s="28"/>
      <c r="J209" s="28"/>
    </row>
    <row r="210" spans="1:10" s="793" customFormat="1" ht="13.8" x14ac:dyDescent="0.3">
      <c r="A210" s="24"/>
      <c r="B210" s="821"/>
      <c r="C210" s="24"/>
      <c r="D210" s="24"/>
      <c r="E210" s="32"/>
      <c r="F210" s="32"/>
      <c r="G210" s="32"/>
    </row>
    <row r="211" spans="1:10" s="793" customFormat="1" ht="13.8" x14ac:dyDescent="0.3">
      <c r="A211" s="32"/>
      <c r="B211" s="821"/>
      <c r="C211" s="24"/>
      <c r="D211" s="24"/>
      <c r="E211" s="28"/>
      <c r="F211" s="24"/>
      <c r="G211" s="24"/>
    </row>
    <row r="212" spans="1:10" s="793" customFormat="1" ht="13.8" x14ac:dyDescent="0.3">
      <c r="B212" s="821"/>
    </row>
    <row r="213" spans="1:10" s="793" customFormat="1" ht="13.8" x14ac:dyDescent="0.3">
      <c r="B213" s="821"/>
    </row>
    <row r="214" spans="1:10" s="793" customFormat="1" ht="13.8" x14ac:dyDescent="0.3">
      <c r="B214" s="821"/>
    </row>
    <row r="215" spans="1:10" s="793" customFormat="1" ht="13.8" x14ac:dyDescent="0.3">
      <c r="B215" s="821"/>
    </row>
    <row r="216" spans="1:10" s="793" customFormat="1" ht="13.8" x14ac:dyDescent="0.3">
      <c r="A216" s="27"/>
      <c r="B216" s="822"/>
      <c r="C216" s="23"/>
      <c r="D216" s="23"/>
      <c r="E216" s="23"/>
      <c r="F216" s="23"/>
      <c r="G216" s="23"/>
      <c r="H216" s="23"/>
    </row>
    <row r="217" spans="1:10" s="793" customFormat="1" ht="13.8" x14ac:dyDescent="0.3">
      <c r="A217" s="27"/>
      <c r="B217" s="822"/>
      <c r="C217" s="23"/>
      <c r="D217" s="23"/>
      <c r="E217" s="23"/>
      <c r="F217" s="23"/>
      <c r="G217" s="23"/>
      <c r="H217" s="23"/>
    </row>
    <row r="218" spans="1:10" s="793" customFormat="1" ht="13.8" x14ac:dyDescent="0.3">
      <c r="A218" s="23"/>
      <c r="B218" s="822"/>
      <c r="C218" s="23"/>
      <c r="D218" s="27"/>
      <c r="E218" s="23"/>
      <c r="F218" s="23"/>
      <c r="G218" s="23"/>
      <c r="H218" s="23"/>
    </row>
    <row r="219" spans="1:10" s="793" customFormat="1" ht="13.8" x14ac:dyDescent="0.3">
      <c r="A219" s="23"/>
      <c r="B219" s="822"/>
      <c r="C219" s="23"/>
      <c r="D219" s="23"/>
      <c r="E219" s="23"/>
      <c r="F219" s="23"/>
      <c r="G219" s="23"/>
      <c r="H219" s="23"/>
    </row>
    <row r="220" spans="1:10" s="793" customFormat="1" ht="13.8" x14ac:dyDescent="0.3">
      <c r="A220" s="27"/>
      <c r="B220" s="822"/>
      <c r="C220" s="23"/>
      <c r="D220" s="23"/>
      <c r="E220" s="23"/>
      <c r="F220" s="23"/>
      <c r="G220" s="23"/>
      <c r="H220" s="23"/>
    </row>
    <row r="221" spans="1:10" s="793" customFormat="1" ht="13.8" x14ac:dyDescent="0.3">
      <c r="A221" s="23"/>
      <c r="B221" s="821"/>
      <c r="D221" s="23"/>
      <c r="E221" s="36"/>
      <c r="F221" s="36"/>
      <c r="G221" s="36"/>
      <c r="H221" s="36"/>
      <c r="I221" s="36"/>
      <c r="J221" s="36"/>
    </row>
    <row r="222" spans="1:10" s="793" customFormat="1" ht="13.8" x14ac:dyDescent="0.3">
      <c r="A222" s="23"/>
      <c r="B222" s="821"/>
      <c r="D222" s="27"/>
      <c r="E222" s="27"/>
      <c r="F222" s="27"/>
      <c r="G222" s="27"/>
      <c r="H222" s="27"/>
      <c r="I222" s="27"/>
      <c r="J222" s="27"/>
    </row>
    <row r="223" spans="1:10" s="793" customFormat="1" ht="13.8" x14ac:dyDescent="0.3">
      <c r="A223" s="23"/>
      <c r="B223" s="821"/>
      <c r="D223" s="23"/>
      <c r="E223" s="37"/>
      <c r="F223" s="37"/>
      <c r="G223" s="37"/>
      <c r="H223" s="37"/>
      <c r="I223" s="37"/>
      <c r="J223" s="37"/>
    </row>
    <row r="224" spans="1:10" s="793" customFormat="1" ht="13.8" x14ac:dyDescent="0.3">
      <c r="A224" s="23"/>
      <c r="B224" s="821"/>
      <c r="D224" s="23"/>
      <c r="E224" s="37"/>
      <c r="F224" s="37"/>
      <c r="G224" s="37"/>
      <c r="H224" s="37"/>
      <c r="I224" s="37"/>
      <c r="J224" s="37"/>
    </row>
    <row r="225" spans="2:2" s="793" customFormat="1" ht="13.8" x14ac:dyDescent="0.3">
      <c r="B225" s="821"/>
    </row>
    <row r="226" spans="2:2" s="793" customFormat="1" ht="13.8" x14ac:dyDescent="0.3">
      <c r="B226" s="821"/>
    </row>
    <row r="227" spans="2:2" s="23" customFormat="1" ht="13.8" x14ac:dyDescent="0.3">
      <c r="B227" s="822"/>
    </row>
  </sheetData>
  <sheetProtection algorithmName="SHA-512" hashValue="TDD6AoiscUdJpi4ZEJqnAnVsquUKIpy0ffI1Q0owl5n39sJ+GqHahh80yo9SlPf4Sa3jOEj0kWkcjz8XaIHkvg==" saltValue="/8T39rK8Ufd1J4Ft7WcrWA==" spinCount="100000" sheet="1" objects="1" scenarios="1"/>
  <mergeCells count="1">
    <mergeCell ref="A135:D135"/>
  </mergeCells>
  <phoneticPr fontId="0" type="noConversion"/>
  <hyperlinks>
    <hyperlink ref="F50" r:id="rId1" xr:uid="{00000000-0004-0000-1100-000000000000}"/>
  </hyperlinks>
  <pageMargins left="0.78740157480314965" right="0.78740157480314965" top="0.98425196850393704" bottom="0.98425196850393704" header="0.51181102362204722" footer="0.51181102362204722"/>
  <pageSetup paperSize="9" scale="52" orientation="landscape" r:id="rId2"/>
  <headerFooter alignWithMargins="0">
    <oddHeader>&amp;L&amp;"Arial,Vet"&amp;F&amp;R&amp;"Arial,Vet"&amp;A</oddHeader>
    <oddFooter>&amp;L&amp;"Arial,Vet"PO-Raad&amp;C&amp;"Arial,Vet"&amp;D&amp;R&amp;"Arial,Vet"pagina &amp;P</oddFooter>
  </headerFooter>
  <rowBreaks count="1" manualBreakCount="1">
    <brk id="56" max="14" man="1"/>
  </rowBreaks>
  <colBreaks count="1" manualBreakCount="1">
    <brk id="21" min="1" max="195" man="1"/>
  </colBreaks>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0"/>
  <sheetViews>
    <sheetView topLeftCell="A98" zoomScale="80" zoomScaleNormal="80" workbookViewId="0">
      <selection activeCell="AB122" sqref="AB122"/>
    </sheetView>
  </sheetViews>
  <sheetFormatPr defaultRowHeight="13.2" x14ac:dyDescent="0.25"/>
  <cols>
    <col min="1" max="1" width="3.44140625" customWidth="1"/>
    <col min="2" max="2" width="18.33203125" customWidth="1"/>
    <col min="3" max="3" width="8.88671875" customWidth="1"/>
  </cols>
  <sheetData>
    <row r="1" spans="1:23" ht="13.8" x14ac:dyDescent="0.3">
      <c r="A1" s="1233"/>
      <c r="B1" s="1233"/>
      <c r="C1" s="1233"/>
      <c r="D1" s="1233"/>
      <c r="E1" s="1233"/>
      <c r="F1" s="1233"/>
      <c r="G1" s="1233"/>
      <c r="H1" s="1233"/>
      <c r="I1" s="1233"/>
      <c r="J1" s="1233"/>
      <c r="K1" s="1233"/>
      <c r="L1" s="1233"/>
      <c r="M1" s="1233"/>
      <c r="N1" s="1233"/>
      <c r="O1" s="1233"/>
      <c r="P1" s="1233"/>
      <c r="Q1" s="1233"/>
      <c r="R1" s="1233"/>
      <c r="S1" s="1233"/>
      <c r="T1" s="1233"/>
      <c r="U1" s="1233"/>
      <c r="V1" s="1233"/>
      <c r="W1" s="1233"/>
    </row>
    <row r="2" spans="1:23" ht="13.8" x14ac:dyDescent="0.3">
      <c r="A2" s="1233"/>
      <c r="B2" s="1259" t="s">
        <v>382</v>
      </c>
      <c r="C2" s="1326">
        <v>43466</v>
      </c>
      <c r="D2" s="1327"/>
      <c r="E2" s="1234"/>
      <c r="F2" s="1235"/>
      <c r="G2" s="1235"/>
      <c r="H2" s="1235"/>
      <c r="I2" s="1235"/>
      <c r="J2" s="1235"/>
      <c r="K2" s="1235"/>
      <c r="L2" s="1235"/>
      <c r="M2" s="1235"/>
      <c r="N2" s="1235"/>
      <c r="O2" s="1235"/>
      <c r="P2" s="1235"/>
      <c r="Q2" s="1235"/>
      <c r="R2" s="1235"/>
      <c r="S2" s="1235"/>
      <c r="T2" s="1235"/>
      <c r="U2" s="1235"/>
      <c r="V2" s="1235"/>
      <c r="W2" s="1235"/>
    </row>
    <row r="3" spans="1:23" ht="13.8" x14ac:dyDescent="0.3">
      <c r="A3" s="1233"/>
      <c r="B3" s="1234" t="s">
        <v>162</v>
      </c>
      <c r="C3" s="1236">
        <v>1</v>
      </c>
      <c r="D3" s="1236">
        <v>2</v>
      </c>
      <c r="E3" s="1236">
        <v>3</v>
      </c>
      <c r="F3" s="1236">
        <v>4</v>
      </c>
      <c r="G3" s="1236">
        <v>5</v>
      </c>
      <c r="H3" s="1236">
        <v>6</v>
      </c>
      <c r="I3" s="1236">
        <v>7</v>
      </c>
      <c r="J3" s="1236">
        <v>8</v>
      </c>
      <c r="K3" s="1236">
        <v>9</v>
      </c>
      <c r="L3" s="1236">
        <v>10</v>
      </c>
      <c r="M3" s="1236">
        <v>11</v>
      </c>
      <c r="N3" s="1236">
        <v>12</v>
      </c>
      <c r="O3" s="1236">
        <v>13</v>
      </c>
      <c r="P3" s="1236">
        <v>14</v>
      </c>
      <c r="Q3" s="1236">
        <v>15</v>
      </c>
      <c r="R3" s="1236">
        <v>16</v>
      </c>
      <c r="S3" s="1236">
        <v>17</v>
      </c>
      <c r="T3" s="1236">
        <v>18</v>
      </c>
      <c r="U3" s="1236">
        <v>19</v>
      </c>
      <c r="V3" s="1236">
        <v>20</v>
      </c>
      <c r="W3" s="1236" t="s">
        <v>163</v>
      </c>
    </row>
    <row r="4" spans="1:23" ht="13.8" x14ac:dyDescent="0.3">
      <c r="A4" s="1233"/>
      <c r="B4" s="1260" t="s">
        <v>144</v>
      </c>
      <c r="C4" s="836">
        <v>2648</v>
      </c>
      <c r="D4" s="836">
        <v>2766</v>
      </c>
      <c r="E4" s="836">
        <v>2895</v>
      </c>
      <c r="F4" s="836">
        <v>3036</v>
      </c>
      <c r="G4" s="836">
        <v>3157</v>
      </c>
      <c r="H4" s="836">
        <v>3282</v>
      </c>
      <c r="I4" s="836">
        <v>3397</v>
      </c>
      <c r="J4" s="836">
        <v>3514</v>
      </c>
      <c r="K4" s="836">
        <v>3639</v>
      </c>
      <c r="L4" s="836">
        <v>3755</v>
      </c>
      <c r="M4" s="836">
        <v>3867</v>
      </c>
      <c r="N4" s="836">
        <v>3982</v>
      </c>
      <c r="O4" s="836">
        <v>4176</v>
      </c>
      <c r="P4" s="836"/>
      <c r="Q4" s="836"/>
      <c r="R4" s="836"/>
      <c r="S4" s="836"/>
      <c r="T4" s="836"/>
      <c r="U4" s="836"/>
      <c r="V4" s="836"/>
      <c r="W4" s="1261">
        <f t="shared" ref="W4:W13" si="0">COUNTA(C4:V4)</f>
        <v>13</v>
      </c>
    </row>
    <row r="5" spans="1:23" ht="13.8" x14ac:dyDescent="0.3">
      <c r="A5" s="1233"/>
      <c r="B5" s="1260" t="s">
        <v>145</v>
      </c>
      <c r="C5" s="836">
        <v>2704</v>
      </c>
      <c r="D5" s="836">
        <v>2835</v>
      </c>
      <c r="E5" s="836">
        <v>2973</v>
      </c>
      <c r="F5" s="836">
        <v>3098</v>
      </c>
      <c r="G5" s="836">
        <v>3220</v>
      </c>
      <c r="H5" s="836">
        <v>3338</v>
      </c>
      <c r="I5" s="836">
        <v>3453</v>
      </c>
      <c r="J5" s="836">
        <v>3580</v>
      </c>
      <c r="K5" s="836">
        <v>3694</v>
      </c>
      <c r="L5" s="836">
        <v>3808</v>
      </c>
      <c r="M5" s="836">
        <v>3923</v>
      </c>
      <c r="N5" s="836">
        <v>4048</v>
      </c>
      <c r="O5" s="836">
        <v>4176</v>
      </c>
      <c r="P5" s="836">
        <v>4297</v>
      </c>
      <c r="Q5" s="836">
        <v>4416</v>
      </c>
      <c r="R5" s="836">
        <v>4533</v>
      </c>
      <c r="S5" s="836">
        <v>4649</v>
      </c>
      <c r="T5" s="836">
        <v>4709</v>
      </c>
      <c r="U5" s="836"/>
      <c r="V5" s="836"/>
      <c r="W5" s="1261">
        <f t="shared" si="0"/>
        <v>18</v>
      </c>
    </row>
    <row r="6" spans="1:23" ht="13.8" x14ac:dyDescent="0.3">
      <c r="A6" s="1233"/>
      <c r="B6" s="1260" t="s">
        <v>146</v>
      </c>
      <c r="C6" s="836">
        <v>2835</v>
      </c>
      <c r="D6" s="836">
        <v>2973</v>
      </c>
      <c r="E6" s="836">
        <v>3220</v>
      </c>
      <c r="F6" s="836">
        <v>3453</v>
      </c>
      <c r="G6" s="836">
        <v>3580</v>
      </c>
      <c r="H6" s="836">
        <v>3694</v>
      </c>
      <c r="I6" s="836">
        <v>3808</v>
      </c>
      <c r="J6" s="836">
        <v>3923</v>
      </c>
      <c r="K6" s="836">
        <v>4048</v>
      </c>
      <c r="L6" s="836">
        <v>4176</v>
      </c>
      <c r="M6" s="836">
        <v>4297</v>
      </c>
      <c r="N6" s="836">
        <v>4416</v>
      </c>
      <c r="O6" s="836">
        <v>4533</v>
      </c>
      <c r="P6" s="836">
        <v>4649</v>
      </c>
      <c r="Q6" s="836">
        <v>4770</v>
      </c>
      <c r="R6" s="836">
        <v>4890</v>
      </c>
      <c r="S6" s="836">
        <v>5003</v>
      </c>
      <c r="T6" s="836">
        <v>5123</v>
      </c>
      <c r="U6" s="836">
        <v>5272</v>
      </c>
      <c r="V6" s="836">
        <v>5345</v>
      </c>
      <c r="W6" s="1261">
        <f t="shared" si="0"/>
        <v>20</v>
      </c>
    </row>
    <row r="7" spans="1:23" ht="13.8" x14ac:dyDescent="0.3">
      <c r="A7" s="1233"/>
      <c r="B7" s="1260" t="s">
        <v>149</v>
      </c>
      <c r="C7" s="836">
        <v>2973</v>
      </c>
      <c r="D7" s="836">
        <v>3220</v>
      </c>
      <c r="E7" s="836">
        <v>3453</v>
      </c>
      <c r="F7" s="836">
        <v>3694</v>
      </c>
      <c r="G7" s="836">
        <v>3923</v>
      </c>
      <c r="H7" s="836">
        <v>4176</v>
      </c>
      <c r="I7" s="836">
        <v>4297</v>
      </c>
      <c r="J7" s="836">
        <v>4416</v>
      </c>
      <c r="K7" s="836">
        <v>4533</v>
      </c>
      <c r="L7" s="836">
        <v>4649</v>
      </c>
      <c r="M7" s="836">
        <v>4770</v>
      </c>
      <c r="N7" s="836">
        <v>4890</v>
      </c>
      <c r="O7" s="836">
        <v>5003</v>
      </c>
      <c r="P7" s="836">
        <v>5123</v>
      </c>
      <c r="Q7" s="836">
        <v>5272</v>
      </c>
      <c r="R7" s="836">
        <v>5420</v>
      </c>
      <c r="S7" s="836">
        <v>5569</v>
      </c>
      <c r="T7" s="836">
        <v>5718</v>
      </c>
      <c r="U7" s="836">
        <v>5789</v>
      </c>
      <c r="V7" s="836"/>
      <c r="W7" s="1261">
        <f t="shared" si="0"/>
        <v>19</v>
      </c>
    </row>
    <row r="8" spans="1:23" ht="13.8" x14ac:dyDescent="0.3">
      <c r="A8" s="1233"/>
      <c r="B8" s="1260" t="s">
        <v>141</v>
      </c>
      <c r="C8" s="836">
        <v>2888</v>
      </c>
      <c r="D8" s="836">
        <v>2999</v>
      </c>
      <c r="E8" s="836">
        <v>3113</v>
      </c>
      <c r="F8" s="836">
        <v>3223</v>
      </c>
      <c r="G8" s="836">
        <v>3334</v>
      </c>
      <c r="H8" s="836">
        <v>3447</v>
      </c>
      <c r="I8" s="836">
        <v>3559</v>
      </c>
      <c r="J8" s="836">
        <v>3671</v>
      </c>
      <c r="K8" s="836">
        <v>3781</v>
      </c>
      <c r="L8" s="836">
        <v>3893</v>
      </c>
      <c r="M8" s="836">
        <v>4007</v>
      </c>
      <c r="N8" s="836">
        <v>4118</v>
      </c>
      <c r="O8" s="836">
        <v>4231</v>
      </c>
      <c r="P8" s="836"/>
      <c r="Q8" s="836"/>
      <c r="R8" s="836"/>
      <c r="S8" s="836"/>
      <c r="T8" s="836"/>
      <c r="U8" s="1178"/>
      <c r="V8" s="1178"/>
      <c r="W8" s="1261">
        <f t="shared" si="0"/>
        <v>13</v>
      </c>
    </row>
    <row r="9" spans="1:23" ht="13.8" x14ac:dyDescent="0.3">
      <c r="A9" s="1233"/>
      <c r="B9" s="1260" t="s">
        <v>142</v>
      </c>
      <c r="C9" s="836">
        <v>2999</v>
      </c>
      <c r="D9" s="836">
        <v>3223</v>
      </c>
      <c r="E9" s="836">
        <v>3447</v>
      </c>
      <c r="F9" s="836">
        <v>3559</v>
      </c>
      <c r="G9" s="836">
        <v>3671</v>
      </c>
      <c r="H9" s="836">
        <v>3781</v>
      </c>
      <c r="I9" s="836">
        <v>3893</v>
      </c>
      <c r="J9" s="836">
        <v>4007</v>
      </c>
      <c r="K9" s="836">
        <v>4118</v>
      </c>
      <c r="L9" s="836">
        <v>4231</v>
      </c>
      <c r="M9" s="836">
        <v>4344</v>
      </c>
      <c r="N9" s="836">
        <v>4454</v>
      </c>
      <c r="O9" s="836">
        <v>4566</v>
      </c>
      <c r="P9" s="836">
        <v>4676</v>
      </c>
      <c r="Q9" s="836">
        <v>4791</v>
      </c>
      <c r="R9" s="836"/>
      <c r="S9" s="836"/>
      <c r="T9" s="836"/>
      <c r="U9" s="1178"/>
      <c r="V9" s="1178"/>
      <c r="W9" s="1261">
        <f t="shared" si="0"/>
        <v>15</v>
      </c>
    </row>
    <row r="10" spans="1:23" ht="13.8" x14ac:dyDescent="0.3">
      <c r="A10" s="1233"/>
      <c r="B10" s="1260" t="s">
        <v>164</v>
      </c>
      <c r="C10" s="836">
        <v>2999</v>
      </c>
      <c r="D10" s="836">
        <v>3223</v>
      </c>
      <c r="E10" s="836">
        <v>3447</v>
      </c>
      <c r="F10" s="836">
        <v>3559</v>
      </c>
      <c r="G10" s="836">
        <v>3671</v>
      </c>
      <c r="H10" s="836">
        <v>3781</v>
      </c>
      <c r="I10" s="836">
        <v>3893</v>
      </c>
      <c r="J10" s="836">
        <v>4007</v>
      </c>
      <c r="K10" s="836">
        <v>4118</v>
      </c>
      <c r="L10" s="836">
        <v>4231</v>
      </c>
      <c r="M10" s="836">
        <v>4344</v>
      </c>
      <c r="N10" s="836">
        <v>4454</v>
      </c>
      <c r="O10" s="836">
        <v>4566</v>
      </c>
      <c r="P10" s="836">
        <v>4676</v>
      </c>
      <c r="Q10" s="836">
        <v>4791</v>
      </c>
      <c r="R10" s="836">
        <v>4902</v>
      </c>
      <c r="S10" s="836">
        <v>5014</v>
      </c>
      <c r="T10" s="836"/>
      <c r="U10" s="1178"/>
      <c r="V10" s="1178"/>
      <c r="W10" s="1261">
        <f t="shared" si="0"/>
        <v>17</v>
      </c>
    </row>
    <row r="11" spans="1:23" ht="13.8" x14ac:dyDescent="0.3">
      <c r="A11" s="1233"/>
      <c r="B11" s="1260" t="s">
        <v>143</v>
      </c>
      <c r="C11" s="836">
        <v>3113</v>
      </c>
      <c r="D11" s="836">
        <v>3447</v>
      </c>
      <c r="E11" s="836">
        <v>3671</v>
      </c>
      <c r="F11" s="836">
        <v>3893</v>
      </c>
      <c r="G11" s="836">
        <v>4118</v>
      </c>
      <c r="H11" s="836">
        <v>4231</v>
      </c>
      <c r="I11" s="836">
        <v>4344</v>
      </c>
      <c r="J11" s="836">
        <v>4454</v>
      </c>
      <c r="K11" s="836">
        <v>4566</v>
      </c>
      <c r="L11" s="836">
        <v>4676</v>
      </c>
      <c r="M11" s="836">
        <v>4791</v>
      </c>
      <c r="N11" s="836">
        <v>4902</v>
      </c>
      <c r="O11" s="836">
        <v>5014</v>
      </c>
      <c r="P11" s="836">
        <v>5124</v>
      </c>
      <c r="Q11" s="836">
        <v>5236</v>
      </c>
      <c r="R11" s="836">
        <v>5350</v>
      </c>
      <c r="S11" s="836"/>
      <c r="T11" s="836"/>
      <c r="U11" s="1178"/>
      <c r="V11" s="1178"/>
      <c r="W11" s="1261">
        <f t="shared" si="0"/>
        <v>16</v>
      </c>
    </row>
    <row r="12" spans="1:23" ht="13.8" x14ac:dyDescent="0.3">
      <c r="A12" s="1233"/>
      <c r="B12" s="1260" t="s">
        <v>165</v>
      </c>
      <c r="C12" s="836">
        <v>3113</v>
      </c>
      <c r="D12" s="836">
        <v>3447</v>
      </c>
      <c r="E12" s="836">
        <v>3671</v>
      </c>
      <c r="F12" s="836">
        <v>3893</v>
      </c>
      <c r="G12" s="836">
        <v>4118</v>
      </c>
      <c r="H12" s="836">
        <v>4231</v>
      </c>
      <c r="I12" s="836">
        <v>4344</v>
      </c>
      <c r="J12" s="836">
        <v>4454</v>
      </c>
      <c r="K12" s="836">
        <v>4566</v>
      </c>
      <c r="L12" s="836">
        <v>4676</v>
      </c>
      <c r="M12" s="836">
        <v>4791</v>
      </c>
      <c r="N12" s="836">
        <v>4902</v>
      </c>
      <c r="O12" s="836">
        <v>5014</v>
      </c>
      <c r="P12" s="836">
        <v>5124</v>
      </c>
      <c r="Q12" s="836">
        <v>5236</v>
      </c>
      <c r="R12" s="836">
        <v>5350</v>
      </c>
      <c r="S12" s="836">
        <v>5461</v>
      </c>
      <c r="T12" s="836">
        <v>5572</v>
      </c>
      <c r="U12" s="1178"/>
      <c r="V12" s="1178"/>
      <c r="W12" s="1261">
        <f t="shared" si="0"/>
        <v>18</v>
      </c>
    </row>
    <row r="13" spans="1:23" ht="13.8" x14ac:dyDescent="0.3">
      <c r="A13" s="1233"/>
      <c r="B13" s="1260" t="s">
        <v>147</v>
      </c>
      <c r="C13" s="836">
        <v>3160</v>
      </c>
      <c r="D13" s="836">
        <v>3392</v>
      </c>
      <c r="E13" s="836">
        <v>3630</v>
      </c>
      <c r="F13" s="836">
        <v>3857</v>
      </c>
      <c r="G13" s="836">
        <v>4109</v>
      </c>
      <c r="H13" s="836">
        <v>4231</v>
      </c>
      <c r="I13" s="836">
        <v>4348</v>
      </c>
      <c r="J13" s="836">
        <v>4467</v>
      </c>
      <c r="K13" s="836">
        <v>4580</v>
      </c>
      <c r="L13" s="836">
        <v>4702</v>
      </c>
      <c r="M13" s="836">
        <v>4820</v>
      </c>
      <c r="N13" s="836">
        <v>4934</v>
      </c>
      <c r="O13" s="836">
        <v>5052</v>
      </c>
      <c r="P13" s="836">
        <v>5200</v>
      </c>
      <c r="Q13" s="836">
        <v>5349</v>
      </c>
      <c r="R13" s="836">
        <v>5496</v>
      </c>
      <c r="S13" s="836">
        <v>5644</v>
      </c>
      <c r="T13" s="836">
        <v>5715</v>
      </c>
      <c r="U13" s="1178"/>
      <c r="V13" s="1178"/>
      <c r="W13" s="1261">
        <f t="shared" si="0"/>
        <v>18</v>
      </c>
    </row>
    <row r="14" spans="1:23" ht="13.8" x14ac:dyDescent="0.3">
      <c r="A14" s="1233"/>
      <c r="B14" s="1260" t="s">
        <v>148</v>
      </c>
      <c r="C14" s="836">
        <v>3276</v>
      </c>
      <c r="D14" s="836">
        <v>3517</v>
      </c>
      <c r="E14" s="836">
        <v>3744</v>
      </c>
      <c r="F14" s="836">
        <v>3983</v>
      </c>
      <c r="G14" s="836">
        <v>4231</v>
      </c>
      <c r="H14" s="836">
        <v>4467</v>
      </c>
      <c r="I14" s="836">
        <v>4702</v>
      </c>
      <c r="J14" s="836">
        <v>4820</v>
      </c>
      <c r="K14" s="836">
        <v>4934</v>
      </c>
      <c r="L14" s="836">
        <v>5052</v>
      </c>
      <c r="M14" s="836">
        <v>5200</v>
      </c>
      <c r="N14" s="836">
        <v>5349</v>
      </c>
      <c r="O14" s="836">
        <v>5496</v>
      </c>
      <c r="P14" s="836">
        <v>5644</v>
      </c>
      <c r="Q14" s="836">
        <v>5794</v>
      </c>
      <c r="R14" s="836">
        <v>5951</v>
      </c>
      <c r="S14" s="836">
        <v>6111</v>
      </c>
      <c r="T14" s="836">
        <v>6276</v>
      </c>
      <c r="U14" s="1178"/>
      <c r="V14" s="1178"/>
      <c r="W14" s="1261">
        <f>COUNTA(C14:V14)</f>
        <v>18</v>
      </c>
    </row>
    <row r="15" spans="1:23" ht="13.8" x14ac:dyDescent="0.3">
      <c r="A15" s="1233"/>
      <c r="B15" s="3" t="s">
        <v>168</v>
      </c>
      <c r="C15" s="1178">
        <v>1635.6</v>
      </c>
      <c r="D15" s="1178">
        <v>1635.6</v>
      </c>
      <c r="E15" s="1178">
        <v>1677</v>
      </c>
      <c r="F15" s="1178">
        <v>1707</v>
      </c>
      <c r="G15" s="1178">
        <v>1742</v>
      </c>
      <c r="H15" s="1178">
        <v>1778</v>
      </c>
      <c r="I15" s="1178">
        <v>1825</v>
      </c>
      <c r="J15" s="1178"/>
      <c r="K15" s="1181"/>
      <c r="L15" s="1181"/>
      <c r="M15" s="1181"/>
      <c r="N15" s="1181"/>
      <c r="O15" s="1181"/>
      <c r="P15" s="1181"/>
      <c r="Q15" s="1181"/>
      <c r="R15" s="1181"/>
      <c r="S15" s="1181"/>
      <c r="T15" s="1181"/>
      <c r="U15" s="1181"/>
      <c r="V15" s="1178"/>
      <c r="W15" s="1261">
        <f t="shared" ref="W15:W46" si="1">COUNTA(C15:V15)</f>
        <v>7</v>
      </c>
    </row>
    <row r="16" spans="1:23" ht="13.8" x14ac:dyDescent="0.3">
      <c r="A16" s="1233"/>
      <c r="B16" s="1235" t="s">
        <v>178</v>
      </c>
      <c r="C16" s="1178">
        <v>1635.6</v>
      </c>
      <c r="D16" s="1178">
        <v>1644</v>
      </c>
      <c r="E16" s="1178">
        <v>1707</v>
      </c>
      <c r="F16" s="1178">
        <v>1778</v>
      </c>
      <c r="G16" s="1178">
        <v>1825</v>
      </c>
      <c r="H16" s="1178">
        <v>1878</v>
      </c>
      <c r="I16" s="1178">
        <v>1944</v>
      </c>
      <c r="J16" s="1178">
        <v>2006</v>
      </c>
      <c r="K16" s="1181"/>
      <c r="L16" s="1181"/>
      <c r="M16" s="1181"/>
      <c r="N16" s="1181"/>
      <c r="O16" s="1181"/>
      <c r="P16" s="1181"/>
      <c r="Q16" s="1181"/>
      <c r="R16" s="1181"/>
      <c r="S16" s="1181"/>
      <c r="T16" s="1181"/>
      <c r="U16" s="1181"/>
      <c r="V16" s="1178"/>
      <c r="W16" s="1261">
        <f t="shared" si="1"/>
        <v>8</v>
      </c>
    </row>
    <row r="17" spans="1:23" ht="13.8" x14ac:dyDescent="0.3">
      <c r="A17" s="1233"/>
      <c r="B17" s="1235" t="s">
        <v>169</v>
      </c>
      <c r="C17" s="1178">
        <v>1635.6</v>
      </c>
      <c r="D17" s="1178">
        <v>1707</v>
      </c>
      <c r="E17" s="1178">
        <v>1778</v>
      </c>
      <c r="F17" s="1178">
        <v>1878</v>
      </c>
      <c r="G17" s="1178">
        <v>1944</v>
      </c>
      <c r="H17" s="1178">
        <v>2006</v>
      </c>
      <c r="I17" s="1178">
        <v>2067</v>
      </c>
      <c r="J17" s="1178"/>
      <c r="K17" s="1178"/>
      <c r="L17" s="1181"/>
      <c r="M17" s="1181"/>
      <c r="N17" s="1181"/>
      <c r="O17" s="1181"/>
      <c r="P17" s="1181"/>
      <c r="Q17" s="1181"/>
      <c r="R17" s="1181"/>
      <c r="S17" s="1181"/>
      <c r="T17" s="1181"/>
      <c r="U17" s="1181"/>
      <c r="V17" s="1178"/>
      <c r="W17" s="1261">
        <f t="shared" si="1"/>
        <v>7</v>
      </c>
    </row>
    <row r="18" spans="1:23" ht="13.8" x14ac:dyDescent="0.3">
      <c r="A18" s="1233"/>
      <c r="B18" s="1235" t="s">
        <v>585</v>
      </c>
      <c r="C18" s="1178">
        <v>1635.6</v>
      </c>
      <c r="D18" s="1178">
        <v>1690</v>
      </c>
      <c r="E18" s="1178">
        <v>1745</v>
      </c>
      <c r="F18" s="1178">
        <v>1799</v>
      </c>
      <c r="G18" s="1178"/>
      <c r="H18" s="1178"/>
      <c r="I18" s="1178"/>
      <c r="J18" s="1178"/>
      <c r="K18" s="1178"/>
      <c r="L18" s="1181"/>
      <c r="M18" s="1181"/>
      <c r="N18" s="1181"/>
      <c r="O18" s="1181"/>
      <c r="P18" s="1181"/>
      <c r="Q18" s="1181"/>
      <c r="R18" s="1181"/>
      <c r="S18" s="1181"/>
      <c r="T18" s="1181"/>
      <c r="U18" s="1181"/>
      <c r="V18" s="1178"/>
      <c r="W18" s="1261">
        <f t="shared" si="1"/>
        <v>4</v>
      </c>
    </row>
    <row r="19" spans="1:23" ht="13.8" x14ac:dyDescent="0.3">
      <c r="A19" s="1233"/>
      <c r="B19" s="1260" t="s">
        <v>562</v>
      </c>
      <c r="C19" s="836">
        <v>2563</v>
      </c>
      <c r="D19" s="836">
        <v>2640</v>
      </c>
      <c r="E19" s="836">
        <v>2719</v>
      </c>
      <c r="F19" s="836">
        <v>2802</v>
      </c>
      <c r="G19" s="836">
        <v>2886</v>
      </c>
      <c r="H19" s="836">
        <v>2974</v>
      </c>
      <c r="I19" s="836">
        <v>3064</v>
      </c>
      <c r="J19" s="836">
        <v>3156</v>
      </c>
      <c r="K19" s="836">
        <v>3251</v>
      </c>
      <c r="L19" s="836">
        <v>3350</v>
      </c>
      <c r="M19" s="836">
        <v>3451</v>
      </c>
      <c r="N19" s="836">
        <v>3555</v>
      </c>
      <c r="O19" s="836">
        <v>3662</v>
      </c>
      <c r="P19" s="836">
        <v>3773</v>
      </c>
      <c r="Q19" s="836">
        <v>3910</v>
      </c>
      <c r="R19" s="1181"/>
      <c r="S19" s="1181"/>
      <c r="T19" s="1181"/>
      <c r="U19" s="1181"/>
      <c r="V19" s="1178"/>
      <c r="W19" s="1261">
        <f t="shared" si="1"/>
        <v>15</v>
      </c>
    </row>
    <row r="20" spans="1:23" ht="13.8" x14ac:dyDescent="0.3">
      <c r="A20" s="1233"/>
      <c r="B20" s="1260" t="s">
        <v>563</v>
      </c>
      <c r="C20" s="836">
        <v>2639</v>
      </c>
      <c r="D20" s="836">
        <v>2729</v>
      </c>
      <c r="E20" s="836">
        <v>2821</v>
      </c>
      <c r="F20" s="836">
        <v>2916</v>
      </c>
      <c r="G20" s="836">
        <v>3015</v>
      </c>
      <c r="H20" s="836">
        <v>3117</v>
      </c>
      <c r="I20" s="836">
        <v>3222</v>
      </c>
      <c r="J20" s="836">
        <v>3331</v>
      </c>
      <c r="K20" s="836">
        <v>3443</v>
      </c>
      <c r="L20" s="836">
        <v>3560</v>
      </c>
      <c r="M20" s="836">
        <v>3680</v>
      </c>
      <c r="N20" s="836">
        <v>3805</v>
      </c>
      <c r="O20" s="836">
        <v>3933</v>
      </c>
      <c r="P20" s="836">
        <v>4066</v>
      </c>
      <c r="Q20" s="836">
        <v>4228</v>
      </c>
      <c r="R20" s="1181"/>
      <c r="S20" s="1181"/>
      <c r="T20" s="1181"/>
      <c r="U20" s="1181"/>
      <c r="V20" s="1178"/>
      <c r="W20" s="1261">
        <f t="shared" si="1"/>
        <v>15</v>
      </c>
    </row>
    <row r="21" spans="1:23" ht="13.8" x14ac:dyDescent="0.3">
      <c r="A21" s="1233"/>
      <c r="B21" s="1260" t="s">
        <v>564</v>
      </c>
      <c r="C21" s="836">
        <v>2691</v>
      </c>
      <c r="D21" s="836">
        <v>2806</v>
      </c>
      <c r="E21" s="836">
        <v>2927</v>
      </c>
      <c r="F21" s="836">
        <v>3052</v>
      </c>
      <c r="G21" s="836">
        <v>3184</v>
      </c>
      <c r="H21" s="836">
        <v>3321</v>
      </c>
      <c r="I21" s="836">
        <v>3463</v>
      </c>
      <c r="J21" s="836">
        <v>3613</v>
      </c>
      <c r="K21" s="836">
        <v>3768</v>
      </c>
      <c r="L21" s="836">
        <v>3930</v>
      </c>
      <c r="M21" s="836">
        <v>4099</v>
      </c>
      <c r="N21" s="836">
        <v>4275</v>
      </c>
      <c r="O21" s="836">
        <v>4460</v>
      </c>
      <c r="P21" s="836">
        <v>4651</v>
      </c>
      <c r="Q21" s="836">
        <v>4851</v>
      </c>
      <c r="R21" s="1181"/>
      <c r="S21" s="1181"/>
      <c r="T21" s="1181"/>
      <c r="U21" s="1181"/>
      <c r="V21" s="1178"/>
      <c r="W21" s="1261">
        <f t="shared" si="1"/>
        <v>15</v>
      </c>
    </row>
    <row r="22" spans="1:23" ht="13.8" x14ac:dyDescent="0.3">
      <c r="A22" s="1233"/>
      <c r="B22" s="1260" t="s">
        <v>565</v>
      </c>
      <c r="C22" s="836">
        <v>2691</v>
      </c>
      <c r="D22" s="836">
        <v>2806</v>
      </c>
      <c r="E22" s="836">
        <v>2961</v>
      </c>
      <c r="F22" s="836">
        <v>3124</v>
      </c>
      <c r="G22" s="836">
        <v>3288</v>
      </c>
      <c r="H22" s="836">
        <v>3459</v>
      </c>
      <c r="I22" s="836">
        <v>3637</v>
      </c>
      <c r="J22" s="836">
        <v>3817</v>
      </c>
      <c r="K22" s="836">
        <v>4007</v>
      </c>
      <c r="L22" s="836">
        <v>4204</v>
      </c>
      <c r="M22" s="836">
        <v>4406</v>
      </c>
      <c r="N22" s="836">
        <v>4616</v>
      </c>
      <c r="O22" s="836">
        <v>4833</v>
      </c>
      <c r="P22" s="836">
        <v>5055</v>
      </c>
      <c r="Q22" s="836">
        <v>5294</v>
      </c>
      <c r="R22" s="1181"/>
      <c r="S22" s="1181"/>
      <c r="T22" s="1181"/>
      <c r="U22" s="1181"/>
      <c r="V22" s="1178"/>
      <c r="W22" s="1261">
        <f t="shared" si="1"/>
        <v>15</v>
      </c>
    </row>
    <row r="23" spans="1:23" ht="13.8" x14ac:dyDescent="0.3">
      <c r="A23" s="1233"/>
      <c r="B23" s="1260" t="s">
        <v>566</v>
      </c>
      <c r="C23" s="836">
        <v>3392</v>
      </c>
      <c r="D23" s="836">
        <v>3519</v>
      </c>
      <c r="E23" s="836">
        <v>3633</v>
      </c>
      <c r="F23" s="836">
        <v>3861</v>
      </c>
      <c r="G23" s="836">
        <v>4114</v>
      </c>
      <c r="H23" s="836">
        <v>4273</v>
      </c>
      <c r="I23" s="836">
        <v>4435</v>
      </c>
      <c r="J23" s="836">
        <v>4596</v>
      </c>
      <c r="K23" s="836">
        <v>4758</v>
      </c>
      <c r="L23" s="836">
        <v>4918</v>
      </c>
      <c r="M23" s="836">
        <v>5081</v>
      </c>
      <c r="N23" s="836">
        <v>5243</v>
      </c>
      <c r="O23" s="836">
        <v>5405</v>
      </c>
      <c r="P23" s="836">
        <v>5566</v>
      </c>
      <c r="Q23" s="836">
        <v>5732</v>
      </c>
      <c r="R23" s="1181"/>
      <c r="S23" s="1181"/>
      <c r="T23" s="1181"/>
      <c r="U23" s="1181"/>
      <c r="V23" s="1178"/>
      <c r="W23" s="1261">
        <f t="shared" si="1"/>
        <v>15</v>
      </c>
    </row>
    <row r="24" spans="1:23" ht="13.8" x14ac:dyDescent="0.3">
      <c r="A24" s="1233"/>
      <c r="B24" s="1235" t="s">
        <v>166</v>
      </c>
      <c r="C24" s="1178">
        <f>0.5*C19</f>
        <v>1281.5</v>
      </c>
      <c r="D24" s="1179"/>
      <c r="E24" s="1179"/>
      <c r="F24" s="1179"/>
      <c r="G24" s="1179"/>
      <c r="H24" s="1179"/>
      <c r="I24" s="1179"/>
      <c r="J24" s="1179"/>
      <c r="K24" s="1179"/>
      <c r="L24" s="1179"/>
      <c r="M24" s="1179"/>
      <c r="N24" s="1179"/>
      <c r="O24" s="1179"/>
      <c r="P24" s="1179"/>
      <c r="Q24" s="1179"/>
      <c r="R24" s="1181"/>
      <c r="S24" s="1182"/>
      <c r="T24" s="1182"/>
      <c r="U24" s="1182"/>
      <c r="V24" s="1179"/>
      <c r="W24" s="1261">
        <f t="shared" si="1"/>
        <v>1</v>
      </c>
    </row>
    <row r="25" spans="1:23" ht="13.8" x14ac:dyDescent="0.3">
      <c r="A25" s="1233"/>
      <c r="B25" s="1235" t="s">
        <v>167</v>
      </c>
      <c r="C25" s="1178">
        <f>0.5*C20</f>
        <v>1319.5</v>
      </c>
      <c r="D25" s="1179"/>
      <c r="E25" s="1179"/>
      <c r="F25" s="1179"/>
      <c r="G25" s="1179"/>
      <c r="H25" s="1179"/>
      <c r="I25" s="1179"/>
      <c r="J25" s="1179"/>
      <c r="K25" s="1179"/>
      <c r="L25" s="1179"/>
      <c r="M25" s="1179"/>
      <c r="N25" s="1179"/>
      <c r="O25" s="1179"/>
      <c r="P25" s="1179"/>
      <c r="Q25" s="1179"/>
      <c r="R25" s="1181"/>
      <c r="S25" s="1182"/>
      <c r="T25" s="1182"/>
      <c r="U25" s="1182"/>
      <c r="V25" s="1179"/>
      <c r="W25" s="1261">
        <f t="shared" si="1"/>
        <v>1</v>
      </c>
    </row>
    <row r="26" spans="1:23" ht="13.8" x14ac:dyDescent="0.3">
      <c r="A26" s="1233"/>
      <c r="B26" s="1262" t="s">
        <v>313</v>
      </c>
      <c r="C26" s="836">
        <v>2888</v>
      </c>
      <c r="D26" s="836">
        <v>2999</v>
      </c>
      <c r="E26" s="836">
        <v>3113</v>
      </c>
      <c r="F26" s="836">
        <v>3223</v>
      </c>
      <c r="G26" s="836">
        <v>3334</v>
      </c>
      <c r="H26" s="836">
        <v>3447</v>
      </c>
      <c r="I26" s="836">
        <v>3559</v>
      </c>
      <c r="J26" s="836">
        <v>3671</v>
      </c>
      <c r="K26" s="836">
        <v>3781</v>
      </c>
      <c r="L26" s="836">
        <v>3893</v>
      </c>
      <c r="M26" s="836">
        <v>4007</v>
      </c>
      <c r="N26" s="836"/>
      <c r="O26" s="836"/>
      <c r="P26" s="836"/>
      <c r="Q26" s="836"/>
      <c r="R26" s="1181"/>
      <c r="S26" s="1181"/>
      <c r="T26" s="1181"/>
      <c r="U26" s="1181"/>
      <c r="V26" s="1178"/>
      <c r="W26" s="1261">
        <f t="shared" si="1"/>
        <v>11</v>
      </c>
    </row>
    <row r="27" spans="1:23" ht="13.8" x14ac:dyDescent="0.3">
      <c r="A27" s="1233"/>
      <c r="B27" s="1262" t="s">
        <v>308</v>
      </c>
      <c r="C27" s="836">
        <v>2999</v>
      </c>
      <c r="D27" s="836">
        <v>3223</v>
      </c>
      <c r="E27" s="836">
        <v>3447</v>
      </c>
      <c r="F27" s="836">
        <v>3559</v>
      </c>
      <c r="G27" s="836">
        <v>3671</v>
      </c>
      <c r="H27" s="836">
        <v>3781</v>
      </c>
      <c r="I27" s="836">
        <v>3893</v>
      </c>
      <c r="J27" s="836">
        <v>4007</v>
      </c>
      <c r="K27" s="836">
        <v>4118</v>
      </c>
      <c r="L27" s="836">
        <v>4231</v>
      </c>
      <c r="M27" s="836"/>
      <c r="N27" s="836"/>
      <c r="O27" s="836"/>
      <c r="P27" s="836"/>
      <c r="Q27" s="836"/>
      <c r="R27" s="1181"/>
      <c r="S27" s="1181"/>
      <c r="T27" s="1181"/>
      <c r="U27" s="1181"/>
      <c r="V27" s="1178"/>
      <c r="W27" s="1261">
        <f t="shared" si="1"/>
        <v>10</v>
      </c>
    </row>
    <row r="28" spans="1:23" ht="13.8" x14ac:dyDescent="0.3">
      <c r="A28" s="1233"/>
      <c r="B28" s="1262" t="s">
        <v>309</v>
      </c>
      <c r="C28" s="836">
        <v>2999</v>
      </c>
      <c r="D28" s="836">
        <v>3223</v>
      </c>
      <c r="E28" s="836">
        <v>3447</v>
      </c>
      <c r="F28" s="836">
        <v>3559</v>
      </c>
      <c r="G28" s="836">
        <v>3671</v>
      </c>
      <c r="H28" s="836">
        <v>3781</v>
      </c>
      <c r="I28" s="836">
        <v>3893</v>
      </c>
      <c r="J28" s="836">
        <v>4007</v>
      </c>
      <c r="K28" s="836">
        <v>4118</v>
      </c>
      <c r="L28" s="836">
        <v>4231</v>
      </c>
      <c r="M28" s="836">
        <v>4344</v>
      </c>
      <c r="N28" s="836"/>
      <c r="O28" s="836"/>
      <c r="P28" s="836"/>
      <c r="Q28" s="836"/>
      <c r="R28" s="1181"/>
      <c r="S28" s="1181"/>
      <c r="T28" s="1181"/>
      <c r="U28" s="1181"/>
      <c r="V28" s="1178"/>
      <c r="W28" s="1261">
        <f t="shared" si="1"/>
        <v>11</v>
      </c>
    </row>
    <row r="29" spans="1:23" ht="13.8" x14ac:dyDescent="0.3">
      <c r="A29" s="1233"/>
      <c r="B29" s="1262" t="s">
        <v>567</v>
      </c>
      <c r="C29" s="836">
        <v>3113</v>
      </c>
      <c r="D29" s="836">
        <v>3447</v>
      </c>
      <c r="E29" s="836">
        <v>3671</v>
      </c>
      <c r="F29" s="836">
        <v>3893</v>
      </c>
      <c r="G29" s="836">
        <v>4118</v>
      </c>
      <c r="H29" s="836">
        <v>4231</v>
      </c>
      <c r="I29" s="836">
        <v>4344</v>
      </c>
      <c r="J29" s="836">
        <v>4454</v>
      </c>
      <c r="K29" s="836">
        <v>4566</v>
      </c>
      <c r="L29" s="836">
        <v>4676</v>
      </c>
      <c r="M29" s="836">
        <v>4791</v>
      </c>
      <c r="N29" s="836">
        <v>4902</v>
      </c>
      <c r="O29" s="836">
        <v>5014</v>
      </c>
      <c r="P29" s="836"/>
      <c r="Q29" s="836"/>
      <c r="R29" s="1181"/>
      <c r="S29" s="1181"/>
      <c r="T29" s="1181"/>
      <c r="U29" s="1181"/>
      <c r="V29" s="1178"/>
      <c r="W29" s="1261">
        <f t="shared" si="1"/>
        <v>13</v>
      </c>
    </row>
    <row r="30" spans="1:23" ht="13.8" x14ac:dyDescent="0.3">
      <c r="A30" s="1233"/>
      <c r="B30" s="1262" t="s">
        <v>310</v>
      </c>
      <c r="C30" s="836">
        <v>3113</v>
      </c>
      <c r="D30" s="836">
        <v>3447</v>
      </c>
      <c r="E30" s="836">
        <v>3671</v>
      </c>
      <c r="F30" s="836">
        <v>3893</v>
      </c>
      <c r="G30" s="836">
        <v>4118</v>
      </c>
      <c r="H30" s="836">
        <v>4231</v>
      </c>
      <c r="I30" s="836">
        <v>4344</v>
      </c>
      <c r="J30" s="836">
        <v>4454</v>
      </c>
      <c r="K30" s="836">
        <v>4566</v>
      </c>
      <c r="L30" s="836">
        <v>4676</v>
      </c>
      <c r="M30" s="836">
        <v>4791</v>
      </c>
      <c r="N30" s="836">
        <v>4902</v>
      </c>
      <c r="O30" s="836">
        <v>5014</v>
      </c>
      <c r="P30" s="836">
        <v>5124</v>
      </c>
      <c r="Q30" s="836">
        <v>5236</v>
      </c>
      <c r="R30" s="1181"/>
      <c r="S30" s="1181"/>
      <c r="T30" s="1181"/>
      <c r="U30" s="1181"/>
      <c r="V30" s="1178"/>
      <c r="W30" s="1261">
        <f t="shared" si="1"/>
        <v>15</v>
      </c>
    </row>
    <row r="31" spans="1:23" ht="13.8" x14ac:dyDescent="0.3">
      <c r="A31" s="1233"/>
      <c r="B31" s="1235">
        <v>1</v>
      </c>
      <c r="C31" s="1178">
        <v>1635.6</v>
      </c>
      <c r="D31" s="1178">
        <v>1635.6</v>
      </c>
      <c r="E31" s="836">
        <v>1677</v>
      </c>
      <c r="F31" s="836">
        <v>1707</v>
      </c>
      <c r="G31" s="836">
        <v>1742</v>
      </c>
      <c r="H31" s="836">
        <v>1778</v>
      </c>
      <c r="I31" s="836">
        <v>1825</v>
      </c>
      <c r="J31" s="836"/>
      <c r="K31" s="836"/>
      <c r="L31" s="836"/>
      <c r="M31" s="836"/>
      <c r="N31" s="836"/>
      <c r="O31" s="836"/>
      <c r="P31" s="836"/>
      <c r="Q31" s="836"/>
      <c r="R31" s="836"/>
      <c r="S31" s="836"/>
      <c r="T31" s="836"/>
      <c r="U31" s="1181"/>
      <c r="V31" s="1178"/>
      <c r="W31" s="1261">
        <f t="shared" si="1"/>
        <v>7</v>
      </c>
    </row>
    <row r="32" spans="1:23" ht="13.8" x14ac:dyDescent="0.3">
      <c r="A32" s="1233"/>
      <c r="B32" s="1235">
        <v>2</v>
      </c>
      <c r="C32" s="1178">
        <v>1635.6</v>
      </c>
      <c r="D32" s="836">
        <v>1644</v>
      </c>
      <c r="E32" s="836">
        <v>1707</v>
      </c>
      <c r="F32" s="836">
        <v>1778</v>
      </c>
      <c r="G32" s="836">
        <v>1825</v>
      </c>
      <c r="H32" s="836">
        <v>1878</v>
      </c>
      <c r="I32" s="836">
        <v>1944</v>
      </c>
      <c r="J32" s="836">
        <v>2006</v>
      </c>
      <c r="K32" s="836"/>
      <c r="L32" s="836"/>
      <c r="M32" s="836"/>
      <c r="N32" s="836"/>
      <c r="O32" s="836"/>
      <c r="P32" s="836"/>
      <c r="Q32" s="836"/>
      <c r="R32" s="836"/>
      <c r="S32" s="836"/>
      <c r="T32" s="836"/>
      <c r="U32" s="1181"/>
      <c r="V32" s="1178"/>
      <c r="W32" s="1261">
        <f t="shared" si="1"/>
        <v>8</v>
      </c>
    </row>
    <row r="33" spans="1:23" ht="13.8" x14ac:dyDescent="0.3">
      <c r="A33" s="1233"/>
      <c r="B33" s="1235">
        <v>3</v>
      </c>
      <c r="C33" s="1178">
        <v>1635.6</v>
      </c>
      <c r="D33" s="836">
        <v>1707</v>
      </c>
      <c r="E33" s="836">
        <v>1778</v>
      </c>
      <c r="F33" s="836">
        <v>1878</v>
      </c>
      <c r="G33" s="836">
        <v>1944</v>
      </c>
      <c r="H33" s="836">
        <v>2006</v>
      </c>
      <c r="I33" s="836">
        <v>2067</v>
      </c>
      <c r="J33" s="836">
        <v>2126</v>
      </c>
      <c r="K33" s="836">
        <v>2185</v>
      </c>
      <c r="L33" s="836"/>
      <c r="M33" s="836"/>
      <c r="N33" s="836"/>
      <c r="O33" s="836"/>
      <c r="P33" s="836"/>
      <c r="Q33" s="836"/>
      <c r="R33" s="836"/>
      <c r="S33" s="836"/>
      <c r="T33" s="836"/>
      <c r="U33" s="1181"/>
      <c r="V33" s="1178"/>
      <c r="W33" s="1261">
        <f t="shared" si="1"/>
        <v>9</v>
      </c>
    </row>
    <row r="34" spans="1:23" ht="13.8" x14ac:dyDescent="0.3">
      <c r="A34" s="1233"/>
      <c r="B34" s="1235">
        <v>4</v>
      </c>
      <c r="C34" s="1178">
        <v>1635.6</v>
      </c>
      <c r="D34" s="836">
        <v>1677</v>
      </c>
      <c r="E34" s="836">
        <v>1742</v>
      </c>
      <c r="F34" s="836">
        <v>1825</v>
      </c>
      <c r="G34" s="836">
        <v>1944</v>
      </c>
      <c r="H34" s="836">
        <v>2006</v>
      </c>
      <c r="I34" s="836">
        <v>2067</v>
      </c>
      <c r="J34" s="836">
        <v>2126</v>
      </c>
      <c r="K34" s="836">
        <v>2185</v>
      </c>
      <c r="L34" s="836">
        <v>2241</v>
      </c>
      <c r="M34" s="836">
        <v>2298</v>
      </c>
      <c r="N34" s="836"/>
      <c r="O34" s="836"/>
      <c r="P34" s="836"/>
      <c r="Q34" s="836"/>
      <c r="R34" s="836"/>
      <c r="S34" s="836"/>
      <c r="T34" s="836"/>
      <c r="U34" s="1181"/>
      <c r="V34" s="1178"/>
      <c r="W34" s="1261">
        <f t="shared" si="1"/>
        <v>11</v>
      </c>
    </row>
    <row r="35" spans="1:23" ht="13.8" x14ac:dyDescent="0.3">
      <c r="A35" s="1233"/>
      <c r="B35" s="1235">
        <v>5</v>
      </c>
      <c r="C35" s="836">
        <v>1644</v>
      </c>
      <c r="D35" s="836">
        <v>1677</v>
      </c>
      <c r="E35" s="836">
        <v>1778</v>
      </c>
      <c r="F35" s="836">
        <v>1878</v>
      </c>
      <c r="G35" s="836">
        <v>2006</v>
      </c>
      <c r="H35" s="836">
        <v>2067</v>
      </c>
      <c r="I35" s="836">
        <v>2126</v>
      </c>
      <c r="J35" s="836">
        <v>2185</v>
      </c>
      <c r="K35" s="836">
        <v>2241</v>
      </c>
      <c r="L35" s="836">
        <v>2298</v>
      </c>
      <c r="M35" s="836">
        <v>2353</v>
      </c>
      <c r="N35" s="836">
        <v>2416</v>
      </c>
      <c r="O35" s="836"/>
      <c r="P35" s="836"/>
      <c r="Q35" s="836"/>
      <c r="R35" s="836"/>
      <c r="S35" s="836"/>
      <c r="T35" s="836"/>
      <c r="U35" s="1181"/>
      <c r="V35" s="1178"/>
      <c r="W35" s="1261">
        <f t="shared" si="1"/>
        <v>12</v>
      </c>
    </row>
    <row r="36" spans="1:23" ht="13.8" x14ac:dyDescent="0.3">
      <c r="A36" s="1233"/>
      <c r="B36" s="1235">
        <v>6</v>
      </c>
      <c r="C36" s="836">
        <v>1707</v>
      </c>
      <c r="D36" s="836">
        <v>1778</v>
      </c>
      <c r="E36" s="836">
        <v>2006</v>
      </c>
      <c r="F36" s="836">
        <v>2126</v>
      </c>
      <c r="G36" s="836">
        <v>2185</v>
      </c>
      <c r="H36" s="836">
        <v>2241</v>
      </c>
      <c r="I36" s="836">
        <v>2298</v>
      </c>
      <c r="J36" s="836">
        <v>2353</v>
      </c>
      <c r="K36" s="836">
        <v>2416</v>
      </c>
      <c r="L36" s="836">
        <v>2475</v>
      </c>
      <c r="M36" s="836">
        <v>2531</v>
      </c>
      <c r="N36" s="836"/>
      <c r="O36" s="836"/>
      <c r="P36" s="836"/>
      <c r="Q36" s="836"/>
      <c r="R36" s="836"/>
      <c r="S36" s="836"/>
      <c r="T36" s="836"/>
      <c r="U36" s="1181"/>
      <c r="V36" s="1178"/>
      <c r="W36" s="1261">
        <f t="shared" si="1"/>
        <v>11</v>
      </c>
    </row>
    <row r="37" spans="1:23" ht="13.8" x14ac:dyDescent="0.3">
      <c r="A37" s="1233"/>
      <c r="B37" s="1235">
        <v>7</v>
      </c>
      <c r="C37" s="836">
        <v>1825</v>
      </c>
      <c r="D37" s="836">
        <v>1878</v>
      </c>
      <c r="E37" s="836">
        <v>2006</v>
      </c>
      <c r="F37" s="836">
        <v>2241</v>
      </c>
      <c r="G37" s="836">
        <v>2353</v>
      </c>
      <c r="H37" s="836">
        <v>2416</v>
      </c>
      <c r="I37" s="836">
        <v>2475</v>
      </c>
      <c r="J37" s="836">
        <v>2531</v>
      </c>
      <c r="K37" s="836">
        <v>2590</v>
      </c>
      <c r="L37" s="836">
        <v>2653</v>
      </c>
      <c r="M37" s="836">
        <v>2719</v>
      </c>
      <c r="N37" s="836">
        <v>2791</v>
      </c>
      <c r="O37" s="836"/>
      <c r="P37" s="836"/>
      <c r="Q37" s="836"/>
      <c r="R37" s="836"/>
      <c r="S37" s="836"/>
      <c r="T37" s="836"/>
      <c r="U37" s="1181"/>
      <c r="V37" s="1178"/>
      <c r="W37" s="1261">
        <f t="shared" si="1"/>
        <v>12</v>
      </c>
    </row>
    <row r="38" spans="1:23" ht="13.8" x14ac:dyDescent="0.3">
      <c r="A38" s="1233"/>
      <c r="B38" s="1235">
        <v>8</v>
      </c>
      <c r="C38" s="836">
        <v>2067</v>
      </c>
      <c r="D38" s="836">
        <v>2126</v>
      </c>
      <c r="E38" s="836">
        <v>2241</v>
      </c>
      <c r="F38" s="836">
        <v>2475</v>
      </c>
      <c r="G38" s="836">
        <v>2590</v>
      </c>
      <c r="H38" s="836">
        <v>2719</v>
      </c>
      <c r="I38" s="836">
        <v>2791</v>
      </c>
      <c r="J38" s="836">
        <v>2857</v>
      </c>
      <c r="K38" s="836">
        <v>2916</v>
      </c>
      <c r="L38" s="836">
        <v>2979</v>
      </c>
      <c r="M38" s="836">
        <v>3043</v>
      </c>
      <c r="N38" s="836">
        <v>3102</v>
      </c>
      <c r="O38" s="836">
        <v>3157</v>
      </c>
      <c r="P38" s="836"/>
      <c r="Q38" s="836"/>
      <c r="R38" s="836"/>
      <c r="S38" s="836"/>
      <c r="T38" s="836"/>
      <c r="U38" s="1181"/>
      <c r="V38" s="1178"/>
      <c r="W38" s="1261">
        <f t="shared" si="1"/>
        <v>13</v>
      </c>
    </row>
    <row r="39" spans="1:23" ht="13.8" x14ac:dyDescent="0.3">
      <c r="A39" s="1233"/>
      <c r="B39" s="1235">
        <v>9</v>
      </c>
      <c r="C39" s="836">
        <v>2394</v>
      </c>
      <c r="D39" s="836">
        <v>2516</v>
      </c>
      <c r="E39" s="836">
        <v>2762</v>
      </c>
      <c r="F39" s="836">
        <v>2903</v>
      </c>
      <c r="G39" s="836">
        <v>3025</v>
      </c>
      <c r="H39" s="836">
        <v>3149</v>
      </c>
      <c r="I39" s="836">
        <v>3266</v>
      </c>
      <c r="J39" s="836">
        <v>3383</v>
      </c>
      <c r="K39" s="836">
        <v>3510</v>
      </c>
      <c r="L39" s="836">
        <v>3622</v>
      </c>
      <c r="M39" s="836"/>
      <c r="N39" s="836"/>
      <c r="O39" s="836"/>
      <c r="P39" s="836"/>
      <c r="Q39" s="836"/>
      <c r="R39" s="836"/>
      <c r="S39" s="836"/>
      <c r="T39" s="836"/>
      <c r="U39" s="1181"/>
      <c r="V39" s="1178"/>
      <c r="W39" s="1261">
        <f t="shared" si="1"/>
        <v>10</v>
      </c>
    </row>
    <row r="40" spans="1:23" ht="13.8" x14ac:dyDescent="0.3">
      <c r="A40" s="1233"/>
      <c r="B40" s="1235">
        <v>10</v>
      </c>
      <c r="C40" s="836">
        <v>2377</v>
      </c>
      <c r="D40" s="836">
        <v>2616</v>
      </c>
      <c r="E40" s="836">
        <v>2745</v>
      </c>
      <c r="F40" s="836">
        <v>2886</v>
      </c>
      <c r="G40" s="836">
        <v>3008</v>
      </c>
      <c r="H40" s="836">
        <v>3232</v>
      </c>
      <c r="I40" s="836">
        <v>3249</v>
      </c>
      <c r="J40" s="836">
        <v>3365</v>
      </c>
      <c r="K40" s="836">
        <v>3493</v>
      </c>
      <c r="L40" s="836">
        <v>3604</v>
      </c>
      <c r="M40" s="836">
        <v>3721</v>
      </c>
      <c r="N40" s="836">
        <v>3833</v>
      </c>
      <c r="O40" s="836">
        <v>3961</v>
      </c>
      <c r="P40" s="836"/>
      <c r="Q40" s="836"/>
      <c r="R40" s="836"/>
      <c r="S40" s="836"/>
      <c r="T40" s="836"/>
      <c r="U40" s="1181"/>
      <c r="V40" s="1178"/>
      <c r="W40" s="1261">
        <f t="shared" si="1"/>
        <v>13</v>
      </c>
    </row>
    <row r="41" spans="1:23" ht="13.8" x14ac:dyDescent="0.3">
      <c r="A41" s="1233"/>
      <c r="B41" s="1235">
        <v>11</v>
      </c>
      <c r="C41" s="836">
        <v>2499</v>
      </c>
      <c r="D41" s="836">
        <v>2616</v>
      </c>
      <c r="E41" s="836">
        <v>2745</v>
      </c>
      <c r="F41" s="836">
        <v>2886</v>
      </c>
      <c r="G41" s="836">
        <v>3008</v>
      </c>
      <c r="H41" s="836">
        <v>3132</v>
      </c>
      <c r="I41" s="836">
        <v>3249</v>
      </c>
      <c r="J41" s="836">
        <v>3493</v>
      </c>
      <c r="K41" s="836">
        <v>3604</v>
      </c>
      <c r="L41" s="836">
        <v>3721</v>
      </c>
      <c r="M41" s="836">
        <v>3833</v>
      </c>
      <c r="N41" s="836">
        <v>3961</v>
      </c>
      <c r="O41" s="836">
        <v>4086</v>
      </c>
      <c r="P41" s="836">
        <v>4209</v>
      </c>
      <c r="Q41" s="836">
        <v>4326</v>
      </c>
      <c r="R41" s="836">
        <v>4446</v>
      </c>
      <c r="S41" s="836">
        <v>4559</v>
      </c>
      <c r="T41" s="836">
        <v>4621</v>
      </c>
      <c r="U41" s="1181"/>
      <c r="V41" s="1178"/>
      <c r="W41" s="1261">
        <f t="shared" si="1"/>
        <v>18</v>
      </c>
    </row>
    <row r="42" spans="1:23" ht="13.8" x14ac:dyDescent="0.3">
      <c r="A42" s="1233"/>
      <c r="B42" s="1235">
        <v>12</v>
      </c>
      <c r="C42" s="836">
        <v>3365</v>
      </c>
      <c r="D42" s="836">
        <v>3493</v>
      </c>
      <c r="E42" s="836">
        <v>3604</v>
      </c>
      <c r="F42" s="836">
        <v>3721</v>
      </c>
      <c r="G42" s="836">
        <v>3833</v>
      </c>
      <c r="H42" s="836">
        <v>3961</v>
      </c>
      <c r="I42" s="836">
        <v>4209</v>
      </c>
      <c r="J42" s="836">
        <v>4326</v>
      </c>
      <c r="K42" s="836">
        <v>4446</v>
      </c>
      <c r="L42" s="836">
        <v>4559</v>
      </c>
      <c r="M42" s="836">
        <v>4682</v>
      </c>
      <c r="N42" s="836">
        <v>4802</v>
      </c>
      <c r="O42" s="836">
        <v>4916</v>
      </c>
      <c r="P42" s="836">
        <v>5036</v>
      </c>
      <c r="Q42" s="836">
        <v>5183</v>
      </c>
      <c r="R42" s="836">
        <v>5258</v>
      </c>
      <c r="S42" s="836"/>
      <c r="T42" s="836"/>
      <c r="U42" s="1181"/>
      <c r="V42" s="1178"/>
      <c r="W42" s="1261">
        <f t="shared" si="1"/>
        <v>16</v>
      </c>
    </row>
    <row r="43" spans="1:23" ht="13.8" x14ac:dyDescent="0.3">
      <c r="A43" s="1233"/>
      <c r="B43" s="1235">
        <v>13</v>
      </c>
      <c r="C43" s="836">
        <v>4086</v>
      </c>
      <c r="D43" s="836">
        <v>4209</v>
      </c>
      <c r="E43" s="836">
        <v>4326</v>
      </c>
      <c r="F43" s="836">
        <v>4446</v>
      </c>
      <c r="G43" s="836">
        <v>4559</v>
      </c>
      <c r="H43" s="836">
        <v>4802</v>
      </c>
      <c r="I43" s="836">
        <v>4916</v>
      </c>
      <c r="J43" s="836">
        <v>5036</v>
      </c>
      <c r="K43" s="836">
        <v>5183</v>
      </c>
      <c r="L43" s="836">
        <v>5332</v>
      </c>
      <c r="M43" s="836">
        <v>5481</v>
      </c>
      <c r="N43" s="836">
        <v>5629</v>
      </c>
      <c r="O43" s="836">
        <v>5702</v>
      </c>
      <c r="P43" s="836"/>
      <c r="Q43" s="836"/>
      <c r="R43" s="836"/>
      <c r="S43" s="836"/>
      <c r="T43" s="836"/>
      <c r="U43" s="1181"/>
      <c r="V43" s="1178"/>
      <c r="W43" s="1261">
        <f t="shared" si="1"/>
        <v>13</v>
      </c>
    </row>
    <row r="44" spans="1:23" ht="13.8" x14ac:dyDescent="0.3">
      <c r="A44" s="1233"/>
      <c r="B44" s="1235">
        <v>14</v>
      </c>
      <c r="C44" s="836">
        <v>4682</v>
      </c>
      <c r="D44" s="836">
        <v>4802</v>
      </c>
      <c r="E44" s="836">
        <v>5036</v>
      </c>
      <c r="F44" s="836">
        <v>5183</v>
      </c>
      <c r="G44" s="836">
        <v>5332</v>
      </c>
      <c r="H44" s="836">
        <v>5481</v>
      </c>
      <c r="I44" s="836">
        <v>5629</v>
      </c>
      <c r="J44" s="836">
        <v>5779</v>
      </c>
      <c r="K44" s="836">
        <v>5938</v>
      </c>
      <c r="L44" s="836">
        <v>6097</v>
      </c>
      <c r="M44" s="836">
        <v>6264</v>
      </c>
      <c r="N44" s="836"/>
      <c r="O44" s="836"/>
      <c r="P44" s="836"/>
      <c r="Q44" s="836"/>
      <c r="R44" s="836"/>
      <c r="S44" s="836"/>
      <c r="T44" s="836"/>
      <c r="U44" s="1181"/>
      <c r="V44" s="1178"/>
      <c r="W44" s="1261">
        <f t="shared" si="1"/>
        <v>11</v>
      </c>
    </row>
    <row r="45" spans="1:23" ht="13.8" x14ac:dyDescent="0.3">
      <c r="A45" s="1233"/>
      <c r="B45" s="1235">
        <v>15</v>
      </c>
      <c r="C45" s="836">
        <v>4916</v>
      </c>
      <c r="D45" s="836">
        <v>5036</v>
      </c>
      <c r="E45" s="836">
        <v>5183</v>
      </c>
      <c r="F45" s="836">
        <v>5481</v>
      </c>
      <c r="G45" s="836">
        <v>5629</v>
      </c>
      <c r="H45" s="836">
        <v>5779</v>
      </c>
      <c r="I45" s="836">
        <v>5938</v>
      </c>
      <c r="J45" s="836">
        <v>6097</v>
      </c>
      <c r="K45" s="836">
        <v>6264</v>
      </c>
      <c r="L45" s="836">
        <v>6463</v>
      </c>
      <c r="M45" s="836">
        <v>6671</v>
      </c>
      <c r="N45" s="836">
        <v>6883</v>
      </c>
      <c r="O45" s="836"/>
      <c r="P45" s="836"/>
      <c r="Q45" s="836"/>
      <c r="R45" s="836"/>
      <c r="S45" s="836"/>
      <c r="T45" s="836"/>
      <c r="U45" s="1183"/>
      <c r="V45" s="1180"/>
      <c r="W45" s="1261">
        <f t="shared" si="1"/>
        <v>12</v>
      </c>
    </row>
    <row r="46" spans="1:23" ht="13.8" x14ac:dyDescent="0.3">
      <c r="A46" s="1233"/>
      <c r="B46" s="1235">
        <v>16</v>
      </c>
      <c r="C46" s="836">
        <v>5332</v>
      </c>
      <c r="D46" s="836">
        <v>5481</v>
      </c>
      <c r="E46" s="836">
        <v>5629</v>
      </c>
      <c r="F46" s="836">
        <v>5938</v>
      </c>
      <c r="G46" s="836">
        <v>6097</v>
      </c>
      <c r="H46" s="836">
        <v>6264</v>
      </c>
      <c r="I46" s="836">
        <v>6463</v>
      </c>
      <c r="J46" s="836">
        <v>6671</v>
      </c>
      <c r="K46" s="836">
        <v>6883</v>
      </c>
      <c r="L46" s="836">
        <v>7104</v>
      </c>
      <c r="M46" s="836">
        <v>7327</v>
      </c>
      <c r="N46" s="836">
        <v>7561</v>
      </c>
      <c r="O46" s="836"/>
      <c r="P46" s="836"/>
      <c r="Q46" s="836"/>
      <c r="R46" s="836"/>
      <c r="S46" s="836"/>
      <c r="T46" s="836"/>
      <c r="U46" s="1183"/>
      <c r="V46" s="1180"/>
      <c r="W46" s="1261">
        <f t="shared" si="1"/>
        <v>12</v>
      </c>
    </row>
    <row r="47" spans="1:23" ht="13.8" x14ac:dyDescent="0.3">
      <c r="A47" s="1233"/>
      <c r="B47" s="1233"/>
      <c r="C47" s="1233"/>
      <c r="D47" s="1233"/>
      <c r="E47" s="1233"/>
      <c r="F47" s="1233"/>
      <c r="G47" s="1233"/>
      <c r="H47" s="1233"/>
      <c r="I47" s="1233"/>
      <c r="J47" s="1233"/>
      <c r="K47" s="1233"/>
      <c r="L47" s="1233"/>
      <c r="M47" s="1233"/>
      <c r="N47" s="1233"/>
      <c r="O47" s="1233"/>
      <c r="P47" s="1233"/>
      <c r="Q47" s="1233"/>
      <c r="R47" s="1233"/>
      <c r="S47" s="1233"/>
      <c r="T47" s="1233"/>
      <c r="U47" s="1233"/>
      <c r="V47" s="1233"/>
      <c r="W47" s="1233"/>
    </row>
    <row r="48" spans="1:23" ht="13.8" x14ac:dyDescent="0.3">
      <c r="A48" s="1233"/>
      <c r="B48" s="1259" t="s">
        <v>382</v>
      </c>
      <c r="C48" s="1326">
        <v>43831</v>
      </c>
      <c r="D48" s="1327"/>
      <c r="E48" s="1263">
        <v>4.4999999999999998E-2</v>
      </c>
      <c r="F48" s="1235"/>
      <c r="G48" s="1235"/>
      <c r="H48" s="1235"/>
      <c r="I48" s="1235"/>
      <c r="J48" s="1235"/>
      <c r="K48" s="1235"/>
      <c r="L48" s="1235"/>
      <c r="M48" s="1235"/>
      <c r="N48" s="1235"/>
      <c r="O48" s="1235"/>
      <c r="P48" s="1235"/>
      <c r="Q48" s="1235"/>
      <c r="R48" s="1235"/>
      <c r="S48" s="1235"/>
      <c r="T48" s="1235"/>
      <c r="U48" s="1235"/>
      <c r="V48" s="1235"/>
      <c r="W48" s="1235"/>
    </row>
    <row r="49" spans="1:23" ht="13.8" x14ac:dyDescent="0.3">
      <c r="A49" s="1233"/>
      <c r="B49" s="1234" t="s">
        <v>162</v>
      </c>
      <c r="C49" s="1236">
        <v>1</v>
      </c>
      <c r="D49" s="1236">
        <v>2</v>
      </c>
      <c r="E49" s="1236">
        <v>3</v>
      </c>
      <c r="F49" s="1236">
        <v>4</v>
      </c>
      <c r="G49" s="1236">
        <v>5</v>
      </c>
      <c r="H49" s="1236">
        <v>6</v>
      </c>
      <c r="I49" s="1236">
        <v>7</v>
      </c>
      <c r="J49" s="1236">
        <v>8</v>
      </c>
      <c r="K49" s="1236">
        <v>9</v>
      </c>
      <c r="L49" s="1236">
        <v>10</v>
      </c>
      <c r="M49" s="1236">
        <v>11</v>
      </c>
      <c r="N49" s="1236">
        <v>12</v>
      </c>
      <c r="O49" s="1236">
        <v>13</v>
      </c>
      <c r="P49" s="1236">
        <v>14</v>
      </c>
      <c r="Q49" s="1236">
        <v>15</v>
      </c>
      <c r="R49" s="1236">
        <v>16</v>
      </c>
      <c r="S49" s="1236">
        <v>17</v>
      </c>
      <c r="T49" s="1236">
        <v>18</v>
      </c>
      <c r="U49" s="1236">
        <v>19</v>
      </c>
      <c r="V49" s="1236">
        <v>20</v>
      </c>
      <c r="W49" s="1236" t="s">
        <v>163</v>
      </c>
    </row>
    <row r="50" spans="1:23" ht="13.8" x14ac:dyDescent="0.3">
      <c r="A50" s="1233"/>
      <c r="B50" s="1233" t="s">
        <v>586</v>
      </c>
      <c r="C50" s="1264">
        <v>2678</v>
      </c>
      <c r="D50" s="1264">
        <v>2761</v>
      </c>
      <c r="E50" s="1264">
        <v>2846</v>
      </c>
      <c r="F50" s="1264">
        <v>2935</v>
      </c>
      <c r="G50" s="1264">
        <v>3026</v>
      </c>
      <c r="H50" s="1264">
        <v>3119</v>
      </c>
      <c r="I50" s="1264">
        <v>3217</v>
      </c>
      <c r="J50" s="1264">
        <v>3316</v>
      </c>
      <c r="K50" s="1264">
        <v>3419</v>
      </c>
      <c r="L50" s="1264">
        <v>3525</v>
      </c>
      <c r="M50" s="1264">
        <v>3634</v>
      </c>
      <c r="N50" s="1264">
        <v>3747</v>
      </c>
      <c r="O50" s="1264">
        <v>3862</v>
      </c>
      <c r="P50" s="1264">
        <v>3982</v>
      </c>
      <c r="Q50" s="1264">
        <v>4113</v>
      </c>
      <c r="R50" s="1265"/>
      <c r="S50" s="1265"/>
      <c r="T50" s="1265"/>
      <c r="U50" s="1265"/>
      <c r="V50" s="1265"/>
      <c r="W50" s="1266">
        <f>COUNTA(C50:V50)</f>
        <v>15</v>
      </c>
    </row>
    <row r="51" spans="1:23" ht="13.8" x14ac:dyDescent="0.3">
      <c r="A51" s="1233"/>
      <c r="B51" s="1233" t="s">
        <v>587</v>
      </c>
      <c r="C51" s="1264">
        <v>2758</v>
      </c>
      <c r="D51" s="1264">
        <v>2851</v>
      </c>
      <c r="E51" s="1264">
        <v>2948</v>
      </c>
      <c r="F51" s="1264">
        <v>3047</v>
      </c>
      <c r="G51" s="1264">
        <v>3150</v>
      </c>
      <c r="H51" s="1264">
        <v>3257</v>
      </c>
      <c r="I51" s="1264">
        <v>3367</v>
      </c>
      <c r="J51" s="1264">
        <v>3481</v>
      </c>
      <c r="K51" s="1264">
        <v>3598</v>
      </c>
      <c r="L51" s="1264">
        <v>3720</v>
      </c>
      <c r="M51" s="1264">
        <v>3845</v>
      </c>
      <c r="N51" s="1264">
        <v>3976</v>
      </c>
      <c r="O51" s="1264">
        <v>4110</v>
      </c>
      <c r="P51" s="1264">
        <v>4249</v>
      </c>
      <c r="Q51" s="1264">
        <v>4434</v>
      </c>
      <c r="R51" s="1265"/>
      <c r="S51" s="1265"/>
      <c r="T51" s="1265"/>
      <c r="U51" s="1265"/>
      <c r="V51" s="1265"/>
      <c r="W51" s="1266">
        <f t="shared" ref="W51:W68" si="2">COUNTA(C51:V51)</f>
        <v>15</v>
      </c>
    </row>
    <row r="52" spans="1:23" ht="13.8" x14ac:dyDescent="0.3">
      <c r="A52" s="1233"/>
      <c r="B52" s="1233" t="s">
        <v>588</v>
      </c>
      <c r="C52" s="1264">
        <v>2812</v>
      </c>
      <c r="D52" s="1264">
        <v>2933</v>
      </c>
      <c r="E52" s="1264">
        <v>3059</v>
      </c>
      <c r="F52" s="1264">
        <v>3190</v>
      </c>
      <c r="G52" s="1264">
        <v>3327</v>
      </c>
      <c r="H52" s="1264">
        <v>3470</v>
      </c>
      <c r="I52" s="1264">
        <v>3619</v>
      </c>
      <c r="J52" s="1264">
        <v>3776</v>
      </c>
      <c r="K52" s="1264">
        <v>3937</v>
      </c>
      <c r="L52" s="1264">
        <v>4107</v>
      </c>
      <c r="M52" s="1264">
        <v>4283</v>
      </c>
      <c r="N52" s="1264">
        <v>4468</v>
      </c>
      <c r="O52" s="1264">
        <v>4660</v>
      </c>
      <c r="P52" s="1264">
        <v>4861</v>
      </c>
      <c r="Q52" s="1264">
        <v>5070</v>
      </c>
      <c r="R52" s="1265"/>
      <c r="S52" s="1265"/>
      <c r="T52" s="1265"/>
      <c r="U52" s="1265"/>
      <c r="V52" s="1265"/>
      <c r="W52" s="1266">
        <f t="shared" si="2"/>
        <v>15</v>
      </c>
    </row>
    <row r="53" spans="1:23" ht="13.8" x14ac:dyDescent="0.3">
      <c r="A53" s="1233"/>
      <c r="B53" s="1233" t="s">
        <v>589</v>
      </c>
      <c r="C53" s="1264">
        <v>2812</v>
      </c>
      <c r="D53" s="1264">
        <v>2933</v>
      </c>
      <c r="E53" s="1264">
        <v>3094</v>
      </c>
      <c r="F53" s="1264">
        <v>3265</v>
      </c>
      <c r="G53" s="1264">
        <v>3436</v>
      </c>
      <c r="H53" s="1264">
        <v>3615</v>
      </c>
      <c r="I53" s="1264">
        <v>3800</v>
      </c>
      <c r="J53" s="1264">
        <v>3989</v>
      </c>
      <c r="K53" s="1264">
        <v>4187</v>
      </c>
      <c r="L53" s="1264">
        <v>4393</v>
      </c>
      <c r="M53" s="1264">
        <v>4605</v>
      </c>
      <c r="N53" s="1264">
        <v>4823</v>
      </c>
      <c r="O53" s="1264">
        <v>5050</v>
      </c>
      <c r="P53" s="1264">
        <v>5283</v>
      </c>
      <c r="Q53" s="1264">
        <v>5532</v>
      </c>
      <c r="R53" s="1265"/>
      <c r="S53" s="1265"/>
      <c r="T53" s="1265"/>
      <c r="U53" s="1265"/>
      <c r="V53" s="1265"/>
      <c r="W53" s="1266">
        <f t="shared" si="2"/>
        <v>15</v>
      </c>
    </row>
    <row r="54" spans="1:23" ht="13.8" x14ac:dyDescent="0.3">
      <c r="A54" s="1233"/>
      <c r="B54" s="1260" t="s">
        <v>144</v>
      </c>
      <c r="C54" s="836">
        <v>2768</v>
      </c>
      <c r="D54" s="836">
        <v>2891</v>
      </c>
      <c r="E54" s="836">
        <v>3025</v>
      </c>
      <c r="F54" s="836">
        <v>3173</v>
      </c>
      <c r="G54" s="836">
        <v>3300</v>
      </c>
      <c r="H54" s="836">
        <v>3429</v>
      </c>
      <c r="I54" s="836">
        <v>3550</v>
      </c>
      <c r="J54" s="836">
        <v>3672</v>
      </c>
      <c r="K54" s="836">
        <v>3803</v>
      </c>
      <c r="L54" s="836">
        <v>3924</v>
      </c>
      <c r="M54" s="836">
        <v>4041</v>
      </c>
      <c r="N54" s="836">
        <v>4161</v>
      </c>
      <c r="O54" s="836">
        <v>4364</v>
      </c>
      <c r="P54" s="836"/>
      <c r="Q54" s="836"/>
      <c r="R54" s="836"/>
      <c r="S54" s="836"/>
      <c r="T54" s="836"/>
      <c r="U54" s="836"/>
      <c r="V54" s="836"/>
      <c r="W54" s="1261">
        <f t="shared" si="2"/>
        <v>13</v>
      </c>
    </row>
    <row r="55" spans="1:23" ht="13.8" x14ac:dyDescent="0.3">
      <c r="A55" s="1233"/>
      <c r="B55" s="1260" t="s">
        <v>145</v>
      </c>
      <c r="C55" s="1178">
        <v>2826</v>
      </c>
      <c r="D55" s="836">
        <v>2962</v>
      </c>
      <c r="E55" s="836">
        <v>3107</v>
      </c>
      <c r="F55" s="836">
        <v>3237</v>
      </c>
      <c r="G55" s="836">
        <v>3365</v>
      </c>
      <c r="H55" s="836">
        <v>3489</v>
      </c>
      <c r="I55" s="836">
        <v>3608</v>
      </c>
      <c r="J55" s="836">
        <v>3742</v>
      </c>
      <c r="K55" s="836">
        <v>3860</v>
      </c>
      <c r="L55" s="836">
        <v>3980</v>
      </c>
      <c r="M55" s="836">
        <v>4099</v>
      </c>
      <c r="N55" s="836">
        <v>4230</v>
      </c>
      <c r="O55" s="836">
        <v>4364</v>
      </c>
      <c r="P55" s="836">
        <v>4490</v>
      </c>
      <c r="Q55" s="836">
        <v>4614</v>
      </c>
      <c r="R55" s="836">
        <v>4737</v>
      </c>
      <c r="S55" s="836">
        <v>4858</v>
      </c>
      <c r="T55" s="836">
        <v>4921</v>
      </c>
      <c r="U55" s="836"/>
      <c r="V55" s="836"/>
      <c r="W55" s="1261">
        <f t="shared" si="2"/>
        <v>18</v>
      </c>
    </row>
    <row r="56" spans="1:23" ht="13.8" x14ac:dyDescent="0.3">
      <c r="A56" s="1233"/>
      <c r="B56" s="1260" t="s">
        <v>146</v>
      </c>
      <c r="C56" s="836">
        <v>2962</v>
      </c>
      <c r="D56" s="836">
        <v>3107</v>
      </c>
      <c r="E56" s="836">
        <v>3365</v>
      </c>
      <c r="F56" s="836">
        <v>3608</v>
      </c>
      <c r="G56" s="836">
        <v>3742</v>
      </c>
      <c r="H56" s="836">
        <v>3860</v>
      </c>
      <c r="I56" s="836">
        <v>3980</v>
      </c>
      <c r="J56" s="836">
        <v>4099</v>
      </c>
      <c r="K56" s="836">
        <v>4230</v>
      </c>
      <c r="L56" s="836">
        <v>4364</v>
      </c>
      <c r="M56" s="836">
        <v>4490</v>
      </c>
      <c r="N56" s="836">
        <v>4614</v>
      </c>
      <c r="O56" s="836">
        <v>4737</v>
      </c>
      <c r="P56" s="836">
        <v>4858</v>
      </c>
      <c r="Q56" s="836">
        <v>4985</v>
      </c>
      <c r="R56" s="836">
        <v>5110</v>
      </c>
      <c r="S56" s="836">
        <v>5228</v>
      </c>
      <c r="T56" s="836">
        <v>5354</v>
      </c>
      <c r="U56" s="836">
        <v>5510</v>
      </c>
      <c r="V56" s="836">
        <v>5586</v>
      </c>
      <c r="W56" s="1261">
        <f t="shared" si="2"/>
        <v>20</v>
      </c>
    </row>
    <row r="57" spans="1:23" ht="13.8" x14ac:dyDescent="0.3">
      <c r="A57" s="1233"/>
      <c r="B57" s="1260" t="s">
        <v>149</v>
      </c>
      <c r="C57" s="836">
        <v>3107</v>
      </c>
      <c r="D57" s="836">
        <v>3365</v>
      </c>
      <c r="E57" s="836">
        <v>3608</v>
      </c>
      <c r="F57" s="836">
        <v>3860</v>
      </c>
      <c r="G57" s="836">
        <v>4099</v>
      </c>
      <c r="H57" s="836">
        <v>4364</v>
      </c>
      <c r="I57" s="836">
        <v>4490</v>
      </c>
      <c r="J57" s="836">
        <v>4614</v>
      </c>
      <c r="K57" s="836">
        <v>4737</v>
      </c>
      <c r="L57" s="836">
        <v>4858</v>
      </c>
      <c r="M57" s="836">
        <v>4985</v>
      </c>
      <c r="N57" s="836">
        <v>5110</v>
      </c>
      <c r="O57" s="836">
        <v>5228</v>
      </c>
      <c r="P57" s="836">
        <v>5354</v>
      </c>
      <c r="Q57" s="836">
        <v>5510</v>
      </c>
      <c r="R57" s="836">
        <v>5663</v>
      </c>
      <c r="S57" s="836">
        <v>5820</v>
      </c>
      <c r="T57" s="836">
        <v>5976</v>
      </c>
      <c r="U57" s="836">
        <v>6050</v>
      </c>
      <c r="V57" s="836"/>
      <c r="W57" s="1261">
        <f t="shared" si="2"/>
        <v>19</v>
      </c>
    </row>
    <row r="58" spans="1:23" ht="13.8" x14ac:dyDescent="0.3">
      <c r="A58" s="1233"/>
      <c r="B58" s="1260" t="s">
        <v>590</v>
      </c>
      <c r="C58" s="836">
        <v>3354</v>
      </c>
      <c r="D58" s="836">
        <v>3460</v>
      </c>
      <c r="E58" s="836">
        <v>3568</v>
      </c>
      <c r="F58" s="836">
        <v>3680</v>
      </c>
      <c r="G58" s="836">
        <v>3796</v>
      </c>
      <c r="H58" s="836">
        <v>3915</v>
      </c>
      <c r="I58" s="836">
        <v>4038</v>
      </c>
      <c r="J58" s="836">
        <v>4165</v>
      </c>
      <c r="K58" s="836">
        <v>4296</v>
      </c>
      <c r="L58" s="836">
        <v>4431</v>
      </c>
      <c r="M58" s="836">
        <v>4570</v>
      </c>
      <c r="N58" s="836">
        <v>4713</v>
      </c>
      <c r="O58" s="836">
        <v>4861</v>
      </c>
      <c r="P58" s="836"/>
      <c r="Q58" s="836"/>
      <c r="R58" s="836"/>
      <c r="S58" s="836"/>
      <c r="T58" s="836"/>
      <c r="U58" s="836"/>
      <c r="V58" s="836"/>
      <c r="W58" s="1261">
        <f t="shared" si="2"/>
        <v>13</v>
      </c>
    </row>
    <row r="59" spans="1:23" ht="13.8" x14ac:dyDescent="0.3">
      <c r="A59" s="1233"/>
      <c r="B59" s="1260" t="s">
        <v>591</v>
      </c>
      <c r="C59" s="836">
        <v>3459</v>
      </c>
      <c r="D59" s="836">
        <v>3577</v>
      </c>
      <c r="E59" s="836">
        <v>3699</v>
      </c>
      <c r="F59" s="836">
        <v>3824</v>
      </c>
      <c r="G59" s="836">
        <v>3955</v>
      </c>
      <c r="H59" s="836">
        <v>4089</v>
      </c>
      <c r="I59" s="836">
        <v>4229</v>
      </c>
      <c r="J59" s="836">
        <v>4373</v>
      </c>
      <c r="K59" s="836">
        <v>4521</v>
      </c>
      <c r="L59" s="836">
        <v>4675</v>
      </c>
      <c r="M59" s="836">
        <v>4835</v>
      </c>
      <c r="N59" s="836">
        <v>4999</v>
      </c>
      <c r="O59" s="836">
        <v>5169</v>
      </c>
      <c r="P59" s="836">
        <v>5345</v>
      </c>
      <c r="Q59" s="836">
        <v>5527</v>
      </c>
      <c r="R59" s="836"/>
      <c r="S59" s="836"/>
      <c r="T59" s="836"/>
      <c r="U59" s="836"/>
      <c r="V59" s="836"/>
      <c r="W59" s="1261">
        <f t="shared" si="2"/>
        <v>15</v>
      </c>
    </row>
    <row r="60" spans="1:23" ht="13.8" x14ac:dyDescent="0.3">
      <c r="A60" s="1233"/>
      <c r="B60" s="1260" t="s">
        <v>592</v>
      </c>
      <c r="C60" s="836">
        <v>3563</v>
      </c>
      <c r="D60" s="836">
        <v>3689</v>
      </c>
      <c r="E60" s="836">
        <v>3819</v>
      </c>
      <c r="F60" s="836">
        <v>3954</v>
      </c>
      <c r="G60" s="836">
        <v>4093</v>
      </c>
      <c r="H60" s="836">
        <v>4237</v>
      </c>
      <c r="I60" s="836">
        <v>4387</v>
      </c>
      <c r="J60" s="836">
        <v>4541</v>
      </c>
      <c r="K60" s="836">
        <v>4701</v>
      </c>
      <c r="L60" s="836">
        <v>4867</v>
      </c>
      <c r="M60" s="836">
        <v>5039</v>
      </c>
      <c r="N60" s="836">
        <v>5216</v>
      </c>
      <c r="O60" s="836">
        <v>5400</v>
      </c>
      <c r="P60" s="836">
        <v>5590</v>
      </c>
      <c r="Q60" s="836">
        <v>5787</v>
      </c>
      <c r="R60" s="836">
        <v>5990</v>
      </c>
      <c r="S60" s="836"/>
      <c r="T60" s="836"/>
      <c r="U60" s="836"/>
      <c r="V60" s="836"/>
      <c r="W60" s="1261">
        <f t="shared" si="2"/>
        <v>16</v>
      </c>
    </row>
    <row r="61" spans="1:23" ht="13.8" x14ac:dyDescent="0.3">
      <c r="A61" s="1233"/>
      <c r="B61" s="1260" t="s">
        <v>593</v>
      </c>
      <c r="C61" s="836">
        <v>3668</v>
      </c>
      <c r="D61" s="836">
        <v>3784</v>
      </c>
      <c r="E61" s="836">
        <v>3903</v>
      </c>
      <c r="F61" s="836">
        <v>4026</v>
      </c>
      <c r="G61" s="836">
        <v>4153</v>
      </c>
      <c r="H61" s="836">
        <v>4284</v>
      </c>
      <c r="I61" s="836">
        <v>4419</v>
      </c>
      <c r="J61" s="836">
        <v>4558</v>
      </c>
      <c r="K61" s="836">
        <v>4702</v>
      </c>
      <c r="L61" s="836">
        <v>4850</v>
      </c>
      <c r="M61" s="836">
        <v>5003</v>
      </c>
      <c r="N61" s="836">
        <v>5161</v>
      </c>
      <c r="O61" s="836">
        <v>5324</v>
      </c>
      <c r="P61" s="836">
        <v>5491</v>
      </c>
      <c r="Q61" s="836">
        <v>5665</v>
      </c>
      <c r="R61" s="836">
        <v>5843</v>
      </c>
      <c r="S61" s="836">
        <v>6027</v>
      </c>
      <c r="T61" s="836">
        <v>6217</v>
      </c>
      <c r="U61" s="836"/>
      <c r="V61" s="836"/>
      <c r="W61" s="1261">
        <f t="shared" si="2"/>
        <v>18</v>
      </c>
    </row>
    <row r="62" spans="1:23" ht="13.8" x14ac:dyDescent="0.3">
      <c r="A62" s="1233"/>
      <c r="B62" s="1260" t="s">
        <v>594</v>
      </c>
      <c r="C62" s="836">
        <v>3424</v>
      </c>
      <c r="D62" s="836">
        <v>3676</v>
      </c>
      <c r="E62" s="836">
        <v>3912</v>
      </c>
      <c r="F62" s="836">
        <v>4162</v>
      </c>
      <c r="G62" s="836">
        <v>4422</v>
      </c>
      <c r="H62" s="836">
        <v>4668</v>
      </c>
      <c r="I62" s="836">
        <v>4914</v>
      </c>
      <c r="J62" s="836">
        <v>5037</v>
      </c>
      <c r="K62" s="836">
        <v>5157</v>
      </c>
      <c r="L62" s="836">
        <v>5280</v>
      </c>
      <c r="M62" s="836">
        <v>5435</v>
      </c>
      <c r="N62" s="836">
        <v>5589</v>
      </c>
      <c r="O62" s="836">
        <v>5743</v>
      </c>
      <c r="P62" s="836">
        <v>5898</v>
      </c>
      <c r="Q62" s="836">
        <v>6054</v>
      </c>
      <c r="R62" s="836">
        <v>6218</v>
      </c>
      <c r="S62" s="836">
        <v>6386</v>
      </c>
      <c r="T62" s="836">
        <v>6559</v>
      </c>
      <c r="U62" s="836"/>
      <c r="V62" s="836"/>
      <c r="W62" s="1261">
        <f t="shared" si="2"/>
        <v>18</v>
      </c>
    </row>
    <row r="63" spans="1:23" ht="13.8" x14ac:dyDescent="0.3">
      <c r="A63" s="1233"/>
      <c r="B63" s="1260" t="s">
        <v>141</v>
      </c>
      <c r="C63" s="836">
        <v>3018</v>
      </c>
      <c r="D63" s="836">
        <v>3134</v>
      </c>
      <c r="E63" s="836">
        <v>3253</v>
      </c>
      <c r="F63" s="836">
        <v>3368</v>
      </c>
      <c r="G63" s="836">
        <v>3484</v>
      </c>
      <c r="H63" s="836">
        <v>3603</v>
      </c>
      <c r="I63" s="836">
        <v>3719</v>
      </c>
      <c r="J63" s="836">
        <v>3836</v>
      </c>
      <c r="K63" s="836">
        <v>3951</v>
      </c>
      <c r="L63" s="836">
        <v>4069</v>
      </c>
      <c r="M63" s="836">
        <v>4187</v>
      </c>
      <c r="N63" s="836">
        <v>4303</v>
      </c>
      <c r="O63" s="836">
        <v>4422</v>
      </c>
      <c r="P63" s="836"/>
      <c r="Q63" s="836"/>
      <c r="R63" s="836"/>
      <c r="S63" s="836"/>
      <c r="T63" s="836"/>
      <c r="U63" s="1178"/>
      <c r="V63" s="1178"/>
      <c r="W63" s="1261">
        <f t="shared" si="2"/>
        <v>13</v>
      </c>
    </row>
    <row r="64" spans="1:23" ht="13.8" x14ac:dyDescent="0.3">
      <c r="A64" s="1233"/>
      <c r="B64" s="1260" t="s">
        <v>142</v>
      </c>
      <c r="C64" s="836">
        <v>3134</v>
      </c>
      <c r="D64" s="836">
        <v>3368</v>
      </c>
      <c r="E64" s="836">
        <v>3603</v>
      </c>
      <c r="F64" s="836">
        <v>3719</v>
      </c>
      <c r="G64" s="836">
        <v>3836</v>
      </c>
      <c r="H64" s="836">
        <v>3951</v>
      </c>
      <c r="I64" s="836">
        <v>4069</v>
      </c>
      <c r="J64" s="836">
        <v>4187</v>
      </c>
      <c r="K64" s="836">
        <v>4303</v>
      </c>
      <c r="L64" s="836">
        <v>4422</v>
      </c>
      <c r="M64" s="836">
        <v>4539</v>
      </c>
      <c r="N64" s="836">
        <v>4654</v>
      </c>
      <c r="O64" s="836">
        <v>4771</v>
      </c>
      <c r="P64" s="836">
        <v>4887</v>
      </c>
      <c r="Q64" s="836">
        <v>5006</v>
      </c>
      <c r="R64" s="836"/>
      <c r="S64" s="836"/>
      <c r="T64" s="836"/>
      <c r="U64" s="1178"/>
      <c r="V64" s="1178"/>
      <c r="W64" s="1261">
        <f t="shared" si="2"/>
        <v>15</v>
      </c>
    </row>
    <row r="65" spans="1:23" ht="13.8" x14ac:dyDescent="0.3">
      <c r="A65" s="1233"/>
      <c r="B65" s="1260" t="s">
        <v>164</v>
      </c>
      <c r="C65" s="836">
        <v>3134</v>
      </c>
      <c r="D65" s="836">
        <v>3368</v>
      </c>
      <c r="E65" s="836">
        <v>3603</v>
      </c>
      <c r="F65" s="836">
        <v>3719</v>
      </c>
      <c r="G65" s="836">
        <v>3836</v>
      </c>
      <c r="H65" s="836">
        <v>3951</v>
      </c>
      <c r="I65" s="836">
        <v>4069</v>
      </c>
      <c r="J65" s="836">
        <v>4187</v>
      </c>
      <c r="K65" s="836">
        <v>4303</v>
      </c>
      <c r="L65" s="836">
        <v>4422</v>
      </c>
      <c r="M65" s="836">
        <v>4539</v>
      </c>
      <c r="N65" s="836">
        <v>4654</v>
      </c>
      <c r="O65" s="836">
        <v>4771</v>
      </c>
      <c r="P65" s="836">
        <v>4887</v>
      </c>
      <c r="Q65" s="836">
        <v>5006</v>
      </c>
      <c r="R65" s="836">
        <v>5122</v>
      </c>
      <c r="S65" s="836">
        <v>5240</v>
      </c>
      <c r="T65" s="836"/>
      <c r="U65" s="1178"/>
      <c r="V65" s="1178"/>
      <c r="W65" s="1261">
        <f t="shared" si="2"/>
        <v>17</v>
      </c>
    </row>
    <row r="66" spans="1:23" ht="13.8" x14ac:dyDescent="0.3">
      <c r="A66" s="1233"/>
      <c r="B66" s="1260" t="s">
        <v>143</v>
      </c>
      <c r="C66" s="836">
        <v>3253</v>
      </c>
      <c r="D66" s="836">
        <v>3603</v>
      </c>
      <c r="E66" s="836">
        <v>3863</v>
      </c>
      <c r="F66" s="836">
        <v>4069</v>
      </c>
      <c r="G66" s="836">
        <v>4303</v>
      </c>
      <c r="H66" s="836">
        <v>4422</v>
      </c>
      <c r="I66" s="836">
        <v>4539</v>
      </c>
      <c r="J66" s="836">
        <v>4654</v>
      </c>
      <c r="K66" s="836">
        <v>4771</v>
      </c>
      <c r="L66" s="836">
        <v>4887</v>
      </c>
      <c r="M66" s="836">
        <v>5006</v>
      </c>
      <c r="N66" s="836">
        <v>5122</v>
      </c>
      <c r="O66" s="836">
        <v>5240</v>
      </c>
      <c r="P66" s="836">
        <v>5355</v>
      </c>
      <c r="Q66" s="836">
        <v>5472</v>
      </c>
      <c r="R66" s="836">
        <v>5591</v>
      </c>
      <c r="S66" s="836"/>
      <c r="T66" s="836"/>
      <c r="U66" s="1178"/>
      <c r="V66" s="1178"/>
      <c r="W66" s="1261">
        <f t="shared" si="2"/>
        <v>16</v>
      </c>
    </row>
    <row r="67" spans="1:23" ht="13.8" x14ac:dyDescent="0.3">
      <c r="A67" s="1233"/>
      <c r="B67" s="1260" t="s">
        <v>165</v>
      </c>
      <c r="C67" s="836">
        <v>3253</v>
      </c>
      <c r="D67" s="836">
        <v>3603</v>
      </c>
      <c r="E67" s="836">
        <v>3863</v>
      </c>
      <c r="F67" s="836">
        <v>4069</v>
      </c>
      <c r="G67" s="836">
        <v>4303</v>
      </c>
      <c r="H67" s="836">
        <v>4422</v>
      </c>
      <c r="I67" s="836">
        <v>4539</v>
      </c>
      <c r="J67" s="836">
        <v>4654</v>
      </c>
      <c r="K67" s="836">
        <v>4771</v>
      </c>
      <c r="L67" s="836">
        <v>4887</v>
      </c>
      <c r="M67" s="836">
        <v>5006</v>
      </c>
      <c r="N67" s="836">
        <v>5122</v>
      </c>
      <c r="O67" s="836">
        <v>5240</v>
      </c>
      <c r="P67" s="836">
        <v>5355</v>
      </c>
      <c r="Q67" s="836">
        <v>5472</v>
      </c>
      <c r="R67" s="836">
        <v>5591</v>
      </c>
      <c r="S67" s="836">
        <v>5707</v>
      </c>
      <c r="T67" s="836">
        <v>5823</v>
      </c>
      <c r="U67" s="1178"/>
      <c r="V67" s="1178"/>
      <c r="W67" s="1261">
        <f t="shared" si="2"/>
        <v>18</v>
      </c>
    </row>
    <row r="68" spans="1:23" ht="13.8" x14ac:dyDescent="0.3">
      <c r="A68" s="1233"/>
      <c r="B68" s="1260" t="s">
        <v>147</v>
      </c>
      <c r="C68" s="836">
        <v>3302</v>
      </c>
      <c r="D68" s="836">
        <v>3545</v>
      </c>
      <c r="E68" s="836">
        <v>3793</v>
      </c>
      <c r="F68" s="836">
        <v>4031</v>
      </c>
      <c r="G68" s="836">
        <v>4294</v>
      </c>
      <c r="H68" s="836">
        <v>4422</v>
      </c>
      <c r="I68" s="836">
        <v>4544</v>
      </c>
      <c r="J68" s="836">
        <v>4668</v>
      </c>
      <c r="K68" s="836">
        <v>4786</v>
      </c>
      <c r="L68" s="836">
        <v>4919</v>
      </c>
      <c r="M68" s="836">
        <v>5037</v>
      </c>
      <c r="N68" s="836">
        <v>5157</v>
      </c>
      <c r="O68" s="836">
        <v>5280</v>
      </c>
      <c r="P68" s="836">
        <v>5435</v>
      </c>
      <c r="Q68" s="836">
        <v>5589</v>
      </c>
      <c r="R68" s="836">
        <v>5743</v>
      </c>
      <c r="S68" s="836">
        <v>5898</v>
      </c>
      <c r="T68" s="836">
        <v>5972</v>
      </c>
      <c r="U68" s="1178"/>
      <c r="V68" s="1178"/>
      <c r="W68" s="1261">
        <f t="shared" si="2"/>
        <v>18</v>
      </c>
    </row>
    <row r="69" spans="1:23" ht="13.8" x14ac:dyDescent="0.3">
      <c r="A69" s="1233"/>
      <c r="B69" s="1260" t="s">
        <v>148</v>
      </c>
      <c r="C69" s="836">
        <v>3424</v>
      </c>
      <c r="D69" s="836">
        <v>3676</v>
      </c>
      <c r="E69" s="836">
        <v>3912</v>
      </c>
      <c r="F69" s="836">
        <v>4162</v>
      </c>
      <c r="G69" s="836">
        <v>4422</v>
      </c>
      <c r="H69" s="836">
        <v>4668</v>
      </c>
      <c r="I69" s="836">
        <v>4914</v>
      </c>
      <c r="J69" s="836">
        <v>5037</v>
      </c>
      <c r="K69" s="836">
        <v>5157</v>
      </c>
      <c r="L69" s="836">
        <v>5280</v>
      </c>
      <c r="M69" s="836">
        <v>5435</v>
      </c>
      <c r="N69" s="836">
        <v>5589</v>
      </c>
      <c r="O69" s="836">
        <v>5743</v>
      </c>
      <c r="P69" s="836">
        <v>5898</v>
      </c>
      <c r="Q69" s="836">
        <v>6054</v>
      </c>
      <c r="R69" s="836">
        <v>6218</v>
      </c>
      <c r="S69" s="836">
        <v>6386</v>
      </c>
      <c r="T69" s="836">
        <v>6559</v>
      </c>
      <c r="U69" s="1178"/>
      <c r="V69" s="1178"/>
      <c r="W69" s="1261">
        <f>COUNTA(C69:V69)</f>
        <v>18</v>
      </c>
    </row>
    <row r="70" spans="1:23" ht="13.8" x14ac:dyDescent="0.3">
      <c r="A70" s="1233"/>
      <c r="B70" s="3" t="s">
        <v>168</v>
      </c>
      <c r="C70" s="1178">
        <v>1680</v>
      </c>
      <c r="D70" s="1178">
        <v>1683</v>
      </c>
      <c r="E70" s="1178">
        <v>1752</v>
      </c>
      <c r="F70" s="1178">
        <v>1784</v>
      </c>
      <c r="G70" s="1178">
        <v>1820</v>
      </c>
      <c r="H70" s="1178">
        <v>1858</v>
      </c>
      <c r="I70" s="1178">
        <v>1907</v>
      </c>
      <c r="J70" s="1178"/>
      <c r="K70" s="1181"/>
      <c r="L70" s="1181"/>
      <c r="M70" s="1181"/>
      <c r="N70" s="1181"/>
      <c r="O70" s="1181"/>
      <c r="P70" s="1181"/>
      <c r="Q70" s="1181"/>
      <c r="R70" s="1181"/>
      <c r="S70" s="1181"/>
      <c r="T70" s="1181"/>
      <c r="U70" s="1181"/>
      <c r="V70" s="1178"/>
      <c r="W70" s="1261">
        <f t="shared" ref="W70:W101" si="3">COUNTA(C70:V70)</f>
        <v>7</v>
      </c>
    </row>
    <row r="71" spans="1:23" ht="13.8" x14ac:dyDescent="0.3">
      <c r="A71" s="1233"/>
      <c r="B71" s="1235" t="s">
        <v>178</v>
      </c>
      <c r="C71" s="1178">
        <v>1784</v>
      </c>
      <c r="D71" s="1178">
        <v>1858</v>
      </c>
      <c r="E71" s="1178">
        <v>1907</v>
      </c>
      <c r="F71" s="1178">
        <v>1963</v>
      </c>
      <c r="G71" s="1178">
        <v>2031</v>
      </c>
      <c r="H71" s="1178">
        <v>2096</v>
      </c>
      <c r="I71" s="1178"/>
      <c r="J71" s="1178"/>
      <c r="K71" s="1181"/>
      <c r="L71" s="1181"/>
      <c r="M71" s="1181"/>
      <c r="N71" s="1181"/>
      <c r="O71" s="1181"/>
      <c r="P71" s="1181"/>
      <c r="Q71" s="1181"/>
      <c r="R71" s="1181"/>
      <c r="S71" s="1181"/>
      <c r="T71" s="1181"/>
      <c r="U71" s="1181"/>
      <c r="V71" s="1178"/>
      <c r="W71" s="1261">
        <f t="shared" si="3"/>
        <v>6</v>
      </c>
    </row>
    <row r="72" spans="1:23" ht="13.8" x14ac:dyDescent="0.3">
      <c r="A72" s="1233"/>
      <c r="B72" s="1235" t="s">
        <v>169</v>
      </c>
      <c r="C72" s="1178">
        <v>1858</v>
      </c>
      <c r="D72" s="1178">
        <v>1963</v>
      </c>
      <c r="E72" s="1178">
        <v>2031</v>
      </c>
      <c r="F72" s="1178">
        <v>2096</v>
      </c>
      <c r="G72" s="1178">
        <v>2160</v>
      </c>
      <c r="H72" s="1178"/>
      <c r="I72" s="1178"/>
      <c r="J72" s="1178"/>
      <c r="K72" s="1181"/>
      <c r="L72" s="1181"/>
      <c r="M72" s="1181"/>
      <c r="N72" s="1181"/>
      <c r="O72" s="1181"/>
      <c r="P72" s="1181"/>
      <c r="Q72" s="1181"/>
      <c r="R72" s="1181"/>
      <c r="S72" s="1181"/>
      <c r="T72" s="1181"/>
      <c r="U72" s="1181"/>
      <c r="V72" s="1178"/>
      <c r="W72" s="1261">
        <f t="shared" si="3"/>
        <v>5</v>
      </c>
    </row>
    <row r="73" spans="1:23" ht="13.8" x14ac:dyDescent="0.3">
      <c r="A73" s="1233"/>
      <c r="B73" s="1235" t="s">
        <v>585</v>
      </c>
      <c r="C73" s="1178">
        <v>1653.6</v>
      </c>
      <c r="D73" s="1178">
        <v>1709</v>
      </c>
      <c r="E73" s="1178">
        <v>1764</v>
      </c>
      <c r="F73" s="1178">
        <v>1819</v>
      </c>
      <c r="G73" s="1178"/>
      <c r="H73" s="1178"/>
      <c r="I73" s="1178"/>
      <c r="J73" s="1178"/>
      <c r="K73" s="1178"/>
      <c r="L73" s="1181"/>
      <c r="M73" s="1181"/>
      <c r="N73" s="1181"/>
      <c r="O73" s="1181"/>
      <c r="P73" s="1181"/>
      <c r="Q73" s="1181"/>
      <c r="R73" s="1181"/>
      <c r="S73" s="1181"/>
      <c r="T73" s="1181"/>
      <c r="U73" s="1181"/>
      <c r="V73" s="1178"/>
      <c r="W73" s="1261">
        <f t="shared" si="3"/>
        <v>4</v>
      </c>
    </row>
    <row r="74" spans="1:23" ht="13.8" x14ac:dyDescent="0.3">
      <c r="A74" s="1233"/>
      <c r="B74" s="1260" t="s">
        <v>562</v>
      </c>
      <c r="C74" s="836">
        <v>2678</v>
      </c>
      <c r="D74" s="836">
        <v>2761</v>
      </c>
      <c r="E74" s="836">
        <v>2846</v>
      </c>
      <c r="F74" s="836">
        <v>2935</v>
      </c>
      <c r="G74" s="836">
        <v>3026</v>
      </c>
      <c r="H74" s="836">
        <v>3119</v>
      </c>
      <c r="I74" s="836">
        <v>3217</v>
      </c>
      <c r="J74" s="836">
        <v>3316</v>
      </c>
      <c r="K74" s="836">
        <v>3419</v>
      </c>
      <c r="L74" s="836">
        <v>3525</v>
      </c>
      <c r="M74" s="836">
        <v>3634</v>
      </c>
      <c r="N74" s="836">
        <v>3747</v>
      </c>
      <c r="O74" s="836">
        <v>3862</v>
      </c>
      <c r="P74" s="836">
        <v>3982</v>
      </c>
      <c r="Q74" s="836">
        <v>4113</v>
      </c>
      <c r="R74" s="1181"/>
      <c r="S74" s="1181"/>
      <c r="T74" s="1181"/>
      <c r="U74" s="1181"/>
      <c r="V74" s="1178"/>
      <c r="W74" s="1261">
        <f t="shared" si="3"/>
        <v>15</v>
      </c>
    </row>
    <row r="75" spans="1:23" ht="13.8" x14ac:dyDescent="0.3">
      <c r="A75" s="1233"/>
      <c r="B75" s="1260" t="s">
        <v>563</v>
      </c>
      <c r="C75" s="836">
        <v>2758</v>
      </c>
      <c r="D75" s="836">
        <v>2851</v>
      </c>
      <c r="E75" s="836">
        <v>2948</v>
      </c>
      <c r="F75" s="836">
        <v>3047</v>
      </c>
      <c r="G75" s="836">
        <v>3150</v>
      </c>
      <c r="H75" s="836">
        <v>3257</v>
      </c>
      <c r="I75" s="836">
        <v>3367</v>
      </c>
      <c r="J75" s="836">
        <v>3481</v>
      </c>
      <c r="K75" s="836">
        <v>3598</v>
      </c>
      <c r="L75" s="836">
        <v>3720</v>
      </c>
      <c r="M75" s="836">
        <v>3845</v>
      </c>
      <c r="N75" s="836">
        <v>3976</v>
      </c>
      <c r="O75" s="836">
        <v>4110</v>
      </c>
      <c r="P75" s="836">
        <v>4249</v>
      </c>
      <c r="Q75" s="836">
        <v>4434</v>
      </c>
      <c r="R75" s="1181"/>
      <c r="S75" s="1181"/>
      <c r="T75" s="1181"/>
      <c r="U75" s="1181"/>
      <c r="V75" s="1178"/>
      <c r="W75" s="1261">
        <f t="shared" si="3"/>
        <v>15</v>
      </c>
    </row>
    <row r="76" spans="1:23" ht="13.8" x14ac:dyDescent="0.3">
      <c r="A76" s="1233"/>
      <c r="B76" s="1260" t="s">
        <v>564</v>
      </c>
      <c r="C76" s="836">
        <v>2812</v>
      </c>
      <c r="D76" s="836">
        <v>2933</v>
      </c>
      <c r="E76" s="836">
        <v>3059</v>
      </c>
      <c r="F76" s="836">
        <v>3190</v>
      </c>
      <c r="G76" s="836">
        <v>3327</v>
      </c>
      <c r="H76" s="836">
        <v>3470</v>
      </c>
      <c r="I76" s="836">
        <v>3619</v>
      </c>
      <c r="J76" s="836">
        <v>3776</v>
      </c>
      <c r="K76" s="836">
        <v>3937</v>
      </c>
      <c r="L76" s="836">
        <v>4107</v>
      </c>
      <c r="M76" s="836">
        <v>4283</v>
      </c>
      <c r="N76" s="836">
        <v>4468</v>
      </c>
      <c r="O76" s="836">
        <v>4660</v>
      </c>
      <c r="P76" s="836">
        <v>4861</v>
      </c>
      <c r="Q76" s="836">
        <v>5070</v>
      </c>
      <c r="R76" s="1181"/>
      <c r="S76" s="1181"/>
      <c r="T76" s="1181"/>
      <c r="U76" s="1181"/>
      <c r="V76" s="1178"/>
      <c r="W76" s="1261">
        <f t="shared" si="3"/>
        <v>15</v>
      </c>
    </row>
    <row r="77" spans="1:23" ht="13.8" x14ac:dyDescent="0.3">
      <c r="A77" s="1233"/>
      <c r="B77" s="1260" t="s">
        <v>565</v>
      </c>
      <c r="C77" s="836">
        <v>2812</v>
      </c>
      <c r="D77" s="836">
        <v>2933</v>
      </c>
      <c r="E77" s="836">
        <v>3094</v>
      </c>
      <c r="F77" s="836">
        <v>3265</v>
      </c>
      <c r="G77" s="836">
        <v>3436</v>
      </c>
      <c r="H77" s="836">
        <v>3615</v>
      </c>
      <c r="I77" s="836">
        <v>3800</v>
      </c>
      <c r="J77" s="836">
        <v>3989</v>
      </c>
      <c r="K77" s="836">
        <v>4187</v>
      </c>
      <c r="L77" s="836">
        <v>4393</v>
      </c>
      <c r="M77" s="836">
        <v>4605</v>
      </c>
      <c r="N77" s="836">
        <v>4823</v>
      </c>
      <c r="O77" s="836">
        <v>5050</v>
      </c>
      <c r="P77" s="836">
        <v>5283</v>
      </c>
      <c r="Q77" s="836">
        <v>5532</v>
      </c>
      <c r="R77" s="1181"/>
      <c r="S77" s="1181"/>
      <c r="T77" s="1181"/>
      <c r="U77" s="1181"/>
      <c r="V77" s="1178"/>
      <c r="W77" s="1261">
        <f t="shared" si="3"/>
        <v>15</v>
      </c>
    </row>
    <row r="78" spans="1:23" ht="13.8" x14ac:dyDescent="0.3">
      <c r="A78" s="1233"/>
      <c r="B78" s="1260" t="s">
        <v>566</v>
      </c>
      <c r="C78" s="836">
        <v>3544</v>
      </c>
      <c r="D78" s="836">
        <v>3677</v>
      </c>
      <c r="E78" s="836">
        <v>3796</v>
      </c>
      <c r="F78" s="836">
        <v>4035</v>
      </c>
      <c r="G78" s="836">
        <v>4299</v>
      </c>
      <c r="H78" s="836">
        <v>4466</v>
      </c>
      <c r="I78" s="836">
        <v>4635</v>
      </c>
      <c r="J78" s="836">
        <v>4803</v>
      </c>
      <c r="K78" s="836">
        <v>4972</v>
      </c>
      <c r="L78" s="836">
        <v>5139</v>
      </c>
      <c r="M78" s="836">
        <v>5310</v>
      </c>
      <c r="N78" s="836">
        <v>5479</v>
      </c>
      <c r="O78" s="836">
        <v>5648</v>
      </c>
      <c r="P78" s="836">
        <v>5816</v>
      </c>
      <c r="Q78" s="836">
        <v>5990</v>
      </c>
      <c r="R78" s="1181"/>
      <c r="S78" s="1181"/>
      <c r="T78" s="1181"/>
      <c r="U78" s="1181"/>
      <c r="V78" s="1178"/>
      <c r="W78" s="1261">
        <f t="shared" si="3"/>
        <v>15</v>
      </c>
    </row>
    <row r="79" spans="1:23" ht="13.8" x14ac:dyDescent="0.3">
      <c r="A79" s="1233"/>
      <c r="B79" s="1235" t="s">
        <v>166</v>
      </c>
      <c r="C79" s="1178">
        <f>0.5*C74</f>
        <v>1339</v>
      </c>
      <c r="D79" s="1179"/>
      <c r="E79" s="1179"/>
      <c r="F79" s="1179"/>
      <c r="G79" s="1179"/>
      <c r="H79" s="1179"/>
      <c r="I79" s="1179"/>
      <c r="J79" s="1179"/>
      <c r="K79" s="1179"/>
      <c r="L79" s="1179"/>
      <c r="M79" s="1179"/>
      <c r="N79" s="1179"/>
      <c r="O79" s="1179"/>
      <c r="P79" s="1179"/>
      <c r="Q79" s="1179"/>
      <c r="R79" s="1181"/>
      <c r="S79" s="1182"/>
      <c r="T79" s="1182"/>
      <c r="U79" s="1182"/>
      <c r="V79" s="1179"/>
      <c r="W79" s="1261">
        <f t="shared" si="3"/>
        <v>1</v>
      </c>
    </row>
    <row r="80" spans="1:23" ht="13.8" x14ac:dyDescent="0.3">
      <c r="A80" s="1233"/>
      <c r="B80" s="1235" t="s">
        <v>167</v>
      </c>
      <c r="C80" s="1178">
        <f>0.5*C75</f>
        <v>1379</v>
      </c>
      <c r="D80" s="1179"/>
      <c r="E80" s="1179"/>
      <c r="F80" s="1179"/>
      <c r="G80" s="1179"/>
      <c r="H80" s="1179"/>
      <c r="I80" s="1179"/>
      <c r="J80" s="1179"/>
      <c r="K80" s="1179"/>
      <c r="L80" s="1179"/>
      <c r="M80" s="1179"/>
      <c r="N80" s="1179"/>
      <c r="O80" s="1179"/>
      <c r="P80" s="1179"/>
      <c r="Q80" s="1179"/>
      <c r="R80" s="1181"/>
      <c r="S80" s="1182"/>
      <c r="T80" s="1182"/>
      <c r="U80" s="1182"/>
      <c r="V80" s="1179"/>
      <c r="W80" s="1261">
        <f t="shared" si="3"/>
        <v>1</v>
      </c>
    </row>
    <row r="81" spans="1:23" ht="13.8" x14ac:dyDescent="0.3">
      <c r="A81" s="1233"/>
      <c r="B81" s="1262" t="s">
        <v>313</v>
      </c>
      <c r="C81" s="836">
        <v>3018</v>
      </c>
      <c r="D81" s="836">
        <v>3134</v>
      </c>
      <c r="E81" s="836">
        <v>3253</v>
      </c>
      <c r="F81" s="836">
        <v>3368</v>
      </c>
      <c r="G81" s="836">
        <v>3484</v>
      </c>
      <c r="H81" s="836">
        <v>3603</v>
      </c>
      <c r="I81" s="836">
        <v>3719</v>
      </c>
      <c r="J81" s="836">
        <v>3836</v>
      </c>
      <c r="K81" s="836">
        <v>3951</v>
      </c>
      <c r="L81" s="836">
        <v>4069</v>
      </c>
      <c r="M81" s="836">
        <v>4187</v>
      </c>
      <c r="N81" s="836"/>
      <c r="O81" s="836"/>
      <c r="P81" s="836"/>
      <c r="Q81" s="836"/>
      <c r="R81" s="1181"/>
      <c r="S81" s="1181"/>
      <c r="T81" s="1181"/>
      <c r="U81" s="1181"/>
      <c r="V81" s="1178"/>
      <c r="W81" s="1261">
        <f t="shared" si="3"/>
        <v>11</v>
      </c>
    </row>
    <row r="82" spans="1:23" ht="13.8" x14ac:dyDescent="0.3">
      <c r="A82" s="1233"/>
      <c r="B82" s="1262" t="s">
        <v>308</v>
      </c>
      <c r="C82" s="836">
        <v>3134</v>
      </c>
      <c r="D82" s="836">
        <v>3368</v>
      </c>
      <c r="E82" s="836">
        <v>3603</v>
      </c>
      <c r="F82" s="836">
        <v>3719</v>
      </c>
      <c r="G82" s="836">
        <v>3836</v>
      </c>
      <c r="H82" s="836">
        <v>3951</v>
      </c>
      <c r="I82" s="836">
        <v>4069</v>
      </c>
      <c r="J82" s="836">
        <v>4187</v>
      </c>
      <c r="K82" s="836">
        <v>4303</v>
      </c>
      <c r="L82" s="836">
        <v>4422</v>
      </c>
      <c r="M82" s="836"/>
      <c r="N82" s="836"/>
      <c r="O82" s="836"/>
      <c r="P82" s="836"/>
      <c r="Q82" s="836"/>
      <c r="R82" s="1181"/>
      <c r="S82" s="1181"/>
      <c r="T82" s="1181"/>
      <c r="U82" s="1181"/>
      <c r="V82" s="1178"/>
      <c r="W82" s="1261">
        <f t="shared" si="3"/>
        <v>10</v>
      </c>
    </row>
    <row r="83" spans="1:23" ht="13.8" x14ac:dyDescent="0.3">
      <c r="A83" s="1233"/>
      <c r="B83" s="1262" t="s">
        <v>309</v>
      </c>
      <c r="C83" s="836">
        <v>3134</v>
      </c>
      <c r="D83" s="836">
        <v>3368</v>
      </c>
      <c r="E83" s="836">
        <v>3603</v>
      </c>
      <c r="F83" s="836">
        <v>3719</v>
      </c>
      <c r="G83" s="836">
        <v>3836</v>
      </c>
      <c r="H83" s="836">
        <v>3951</v>
      </c>
      <c r="I83" s="836">
        <v>4069</v>
      </c>
      <c r="J83" s="836">
        <v>4187</v>
      </c>
      <c r="K83" s="836">
        <v>4303</v>
      </c>
      <c r="L83" s="836">
        <v>4422</v>
      </c>
      <c r="M83" s="836">
        <v>4539</v>
      </c>
      <c r="N83" s="836"/>
      <c r="O83" s="836"/>
      <c r="P83" s="836"/>
      <c r="Q83" s="836"/>
      <c r="R83" s="1181"/>
      <c r="S83" s="1181"/>
      <c r="T83" s="1181"/>
      <c r="U83" s="1181"/>
      <c r="V83" s="1178"/>
      <c r="W83" s="1261">
        <f t="shared" si="3"/>
        <v>11</v>
      </c>
    </row>
    <row r="84" spans="1:23" ht="13.8" x14ac:dyDescent="0.3">
      <c r="A84" s="1233"/>
      <c r="B84" s="1262" t="s">
        <v>567</v>
      </c>
      <c r="C84" s="836">
        <v>3253</v>
      </c>
      <c r="D84" s="836">
        <v>3603</v>
      </c>
      <c r="E84" s="836">
        <v>3863</v>
      </c>
      <c r="F84" s="836">
        <v>4069</v>
      </c>
      <c r="G84" s="836">
        <v>4303</v>
      </c>
      <c r="H84" s="836">
        <v>4422</v>
      </c>
      <c r="I84" s="836">
        <v>4539</v>
      </c>
      <c r="J84" s="836">
        <v>4654</v>
      </c>
      <c r="K84" s="836">
        <v>4771</v>
      </c>
      <c r="L84" s="836">
        <v>4887</v>
      </c>
      <c r="M84" s="836">
        <v>5006</v>
      </c>
      <c r="N84" s="836">
        <v>5122</v>
      </c>
      <c r="O84" s="836">
        <v>5240</v>
      </c>
      <c r="P84" s="836"/>
      <c r="Q84" s="836"/>
      <c r="R84" s="1181"/>
      <c r="S84" s="1181"/>
      <c r="T84" s="1181"/>
      <c r="U84" s="1181"/>
      <c r="V84" s="1178"/>
      <c r="W84" s="1261">
        <f t="shared" si="3"/>
        <v>13</v>
      </c>
    </row>
    <row r="85" spans="1:23" ht="13.8" x14ac:dyDescent="0.3">
      <c r="A85" s="1233"/>
      <c r="B85" s="1262" t="s">
        <v>310</v>
      </c>
      <c r="C85" s="836">
        <v>3253</v>
      </c>
      <c r="D85" s="836">
        <v>3603</v>
      </c>
      <c r="E85" s="836">
        <v>3863</v>
      </c>
      <c r="F85" s="836">
        <v>4069</v>
      </c>
      <c r="G85" s="836">
        <v>4303</v>
      </c>
      <c r="H85" s="836">
        <v>4422</v>
      </c>
      <c r="I85" s="836">
        <v>4539</v>
      </c>
      <c r="J85" s="836">
        <v>4654</v>
      </c>
      <c r="K85" s="836">
        <v>4771</v>
      </c>
      <c r="L85" s="836">
        <v>4887</v>
      </c>
      <c r="M85" s="836">
        <v>5006</v>
      </c>
      <c r="N85" s="836">
        <v>5122</v>
      </c>
      <c r="O85" s="836">
        <v>5240</v>
      </c>
      <c r="P85" s="836">
        <v>5355</v>
      </c>
      <c r="Q85" s="836">
        <v>5472</v>
      </c>
      <c r="R85" s="1181"/>
      <c r="S85" s="1181"/>
      <c r="T85" s="1181"/>
      <c r="U85" s="1181"/>
      <c r="V85" s="1178"/>
      <c r="W85" s="1261">
        <f t="shared" si="3"/>
        <v>15</v>
      </c>
    </row>
    <row r="86" spans="1:23" ht="13.8" x14ac:dyDescent="0.3">
      <c r="A86" s="1233"/>
      <c r="B86" s="1235">
        <v>1</v>
      </c>
      <c r="C86" s="1178">
        <v>1686</v>
      </c>
      <c r="D86" s="1178">
        <v>1715</v>
      </c>
      <c r="E86" s="836">
        <v>1784</v>
      </c>
      <c r="F86" s="836">
        <v>1816</v>
      </c>
      <c r="G86" s="836">
        <v>1853</v>
      </c>
      <c r="H86" s="836">
        <v>1890</v>
      </c>
      <c r="I86" s="836">
        <v>1939</v>
      </c>
      <c r="J86" s="836"/>
      <c r="K86" s="836"/>
      <c r="L86" s="836"/>
      <c r="M86" s="836"/>
      <c r="N86" s="836"/>
      <c r="O86" s="836"/>
      <c r="P86" s="836"/>
      <c r="Q86" s="836"/>
      <c r="R86" s="836"/>
      <c r="S86" s="836"/>
      <c r="T86" s="836"/>
      <c r="U86" s="1181"/>
      <c r="V86" s="1178"/>
      <c r="W86" s="1261">
        <f t="shared" si="3"/>
        <v>7</v>
      </c>
    </row>
    <row r="87" spans="1:23" ht="13.8" x14ac:dyDescent="0.3">
      <c r="A87" s="1233"/>
      <c r="B87" s="1235">
        <v>2</v>
      </c>
      <c r="C87" s="1178">
        <v>1686</v>
      </c>
      <c r="D87" s="836">
        <v>1750</v>
      </c>
      <c r="E87" s="836">
        <v>1816</v>
      </c>
      <c r="F87" s="836">
        <v>1890</v>
      </c>
      <c r="G87" s="836">
        <v>1939</v>
      </c>
      <c r="H87" s="836">
        <v>1995</v>
      </c>
      <c r="I87" s="836">
        <v>2063</v>
      </c>
      <c r="J87" s="836">
        <v>2128</v>
      </c>
      <c r="K87" s="836"/>
      <c r="L87" s="836"/>
      <c r="M87" s="836"/>
      <c r="N87" s="836"/>
      <c r="O87" s="836"/>
      <c r="P87" s="836"/>
      <c r="Q87" s="836"/>
      <c r="R87" s="836"/>
      <c r="S87" s="836"/>
      <c r="T87" s="836"/>
      <c r="U87" s="1181"/>
      <c r="V87" s="1178"/>
      <c r="W87" s="1261">
        <f t="shared" si="3"/>
        <v>8</v>
      </c>
    </row>
    <row r="88" spans="1:23" ht="13.8" x14ac:dyDescent="0.3">
      <c r="A88" s="1233"/>
      <c r="B88" s="1235">
        <v>3</v>
      </c>
      <c r="C88" s="1178">
        <v>1686</v>
      </c>
      <c r="D88" s="836">
        <v>1816</v>
      </c>
      <c r="E88" s="836">
        <v>1890</v>
      </c>
      <c r="F88" s="836">
        <v>1995</v>
      </c>
      <c r="G88" s="836">
        <v>2063</v>
      </c>
      <c r="H88" s="836">
        <v>2128</v>
      </c>
      <c r="I88" s="836">
        <v>2192</v>
      </c>
      <c r="J88" s="836">
        <v>2254</v>
      </c>
      <c r="K88" s="836">
        <v>2315</v>
      </c>
      <c r="L88" s="836"/>
      <c r="M88" s="836"/>
      <c r="N88" s="836"/>
      <c r="O88" s="836"/>
      <c r="P88" s="836"/>
      <c r="Q88" s="836"/>
      <c r="R88" s="836"/>
      <c r="S88" s="836"/>
      <c r="T88" s="836"/>
      <c r="U88" s="1181"/>
      <c r="V88" s="1178"/>
      <c r="W88" s="1261">
        <f t="shared" si="3"/>
        <v>9</v>
      </c>
    </row>
    <row r="89" spans="1:23" ht="13.8" x14ac:dyDescent="0.3">
      <c r="A89" s="1233"/>
      <c r="B89" s="1235">
        <v>4</v>
      </c>
      <c r="C89" s="1178">
        <v>1715</v>
      </c>
      <c r="D89" s="836">
        <v>1784</v>
      </c>
      <c r="E89" s="836">
        <v>1853</v>
      </c>
      <c r="F89" s="836">
        <v>1939</v>
      </c>
      <c r="G89" s="836">
        <v>2063</v>
      </c>
      <c r="H89" s="836">
        <v>2128</v>
      </c>
      <c r="I89" s="836">
        <v>2192</v>
      </c>
      <c r="J89" s="836">
        <v>2254</v>
      </c>
      <c r="K89" s="836">
        <v>2315</v>
      </c>
      <c r="L89" s="836">
        <v>2374</v>
      </c>
      <c r="M89" s="836">
        <v>2434</v>
      </c>
      <c r="N89" s="836"/>
      <c r="O89" s="836"/>
      <c r="P89" s="836"/>
      <c r="Q89" s="836"/>
      <c r="R89" s="836"/>
      <c r="S89" s="836"/>
      <c r="T89" s="836"/>
      <c r="U89" s="1181"/>
      <c r="V89" s="1178"/>
      <c r="W89" s="1261">
        <f t="shared" si="3"/>
        <v>11</v>
      </c>
    </row>
    <row r="90" spans="1:23" ht="13.8" x14ac:dyDescent="0.3">
      <c r="A90" s="1233"/>
      <c r="B90" s="1235">
        <v>5</v>
      </c>
      <c r="C90" s="836">
        <v>1750</v>
      </c>
      <c r="D90" s="836">
        <v>1784</v>
      </c>
      <c r="E90" s="836">
        <v>1890</v>
      </c>
      <c r="F90" s="836">
        <v>1995</v>
      </c>
      <c r="G90" s="836">
        <v>2128</v>
      </c>
      <c r="H90" s="836">
        <v>2192</v>
      </c>
      <c r="I90" s="836">
        <v>2254</v>
      </c>
      <c r="J90" s="836">
        <v>2315</v>
      </c>
      <c r="K90" s="836">
        <v>2374</v>
      </c>
      <c r="L90" s="836">
        <v>2434</v>
      </c>
      <c r="M90" s="836">
        <v>2491</v>
      </c>
      <c r="N90" s="836">
        <v>2557</v>
      </c>
      <c r="O90" s="836"/>
      <c r="P90" s="836"/>
      <c r="Q90" s="836"/>
      <c r="R90" s="836"/>
      <c r="S90" s="836"/>
      <c r="T90" s="836"/>
      <c r="U90" s="1181"/>
      <c r="V90" s="1178"/>
      <c r="W90" s="1261">
        <f t="shared" si="3"/>
        <v>12</v>
      </c>
    </row>
    <row r="91" spans="1:23" ht="13.8" x14ac:dyDescent="0.3">
      <c r="A91" s="1233"/>
      <c r="B91" s="1235">
        <v>6</v>
      </c>
      <c r="C91" s="836">
        <v>1816</v>
      </c>
      <c r="D91" s="836">
        <v>1890</v>
      </c>
      <c r="E91" s="836">
        <v>2128</v>
      </c>
      <c r="F91" s="836">
        <v>2254</v>
      </c>
      <c r="G91" s="836">
        <v>2315</v>
      </c>
      <c r="H91" s="836">
        <v>2374</v>
      </c>
      <c r="I91" s="836">
        <v>2434</v>
      </c>
      <c r="J91" s="836">
        <v>2491</v>
      </c>
      <c r="K91" s="836">
        <v>2557</v>
      </c>
      <c r="L91" s="836">
        <v>2618</v>
      </c>
      <c r="M91" s="836">
        <v>2677</v>
      </c>
      <c r="N91" s="836"/>
      <c r="O91" s="836"/>
      <c r="P91" s="836"/>
      <c r="Q91" s="836"/>
      <c r="R91" s="836"/>
      <c r="S91" s="836"/>
      <c r="T91" s="836"/>
      <c r="U91" s="1181"/>
      <c r="V91" s="1178"/>
      <c r="W91" s="1261">
        <f t="shared" si="3"/>
        <v>11</v>
      </c>
    </row>
    <row r="92" spans="1:23" ht="13.8" x14ac:dyDescent="0.3">
      <c r="B92" s="1235">
        <v>7</v>
      </c>
      <c r="C92" s="836">
        <v>1939</v>
      </c>
      <c r="D92" s="836">
        <v>1995</v>
      </c>
      <c r="E92" s="836">
        <v>2128</v>
      </c>
      <c r="F92" s="836">
        <v>2374</v>
      </c>
      <c r="G92" s="836">
        <v>2491</v>
      </c>
      <c r="H92" s="836">
        <v>2557</v>
      </c>
      <c r="I92" s="836">
        <v>2618</v>
      </c>
      <c r="J92" s="836">
        <v>2677</v>
      </c>
      <c r="K92" s="836">
        <v>2739</v>
      </c>
      <c r="L92" s="836">
        <v>2805</v>
      </c>
      <c r="M92" s="836">
        <v>2873</v>
      </c>
      <c r="N92" s="836">
        <v>2949</v>
      </c>
      <c r="O92" s="836"/>
      <c r="P92" s="836"/>
      <c r="Q92" s="836"/>
      <c r="R92" s="836"/>
      <c r="S92" s="836"/>
      <c r="T92" s="836"/>
      <c r="U92" s="1181"/>
      <c r="V92" s="1178"/>
      <c r="W92" s="1261">
        <f t="shared" si="3"/>
        <v>12</v>
      </c>
    </row>
    <row r="93" spans="1:23" ht="13.8" x14ac:dyDescent="0.3">
      <c r="B93" s="1235">
        <v>8</v>
      </c>
      <c r="C93" s="836">
        <v>2192</v>
      </c>
      <c r="D93" s="836">
        <v>2254</v>
      </c>
      <c r="E93" s="836">
        <v>2374</v>
      </c>
      <c r="F93" s="836">
        <v>2618</v>
      </c>
      <c r="G93" s="836">
        <v>2739</v>
      </c>
      <c r="H93" s="836">
        <v>2873</v>
      </c>
      <c r="I93" s="836">
        <v>2949</v>
      </c>
      <c r="J93" s="836">
        <v>3018</v>
      </c>
      <c r="K93" s="836">
        <v>3080</v>
      </c>
      <c r="L93" s="836">
        <v>3146</v>
      </c>
      <c r="M93" s="836">
        <v>3212</v>
      </c>
      <c r="N93" s="836">
        <v>3273</v>
      </c>
      <c r="O93" s="836">
        <v>3331</v>
      </c>
      <c r="P93" s="836"/>
      <c r="Q93" s="836"/>
      <c r="R93" s="836"/>
      <c r="S93" s="836"/>
      <c r="T93" s="836"/>
      <c r="U93" s="1181"/>
      <c r="V93" s="1178"/>
      <c r="W93" s="1261">
        <f t="shared" si="3"/>
        <v>13</v>
      </c>
    </row>
    <row r="94" spans="1:23" ht="13.8" x14ac:dyDescent="0.3">
      <c r="B94" s="1235">
        <v>9</v>
      </c>
      <c r="C94" s="836">
        <v>2534</v>
      </c>
      <c r="D94" s="836">
        <v>2661</v>
      </c>
      <c r="E94" s="836">
        <v>2919</v>
      </c>
      <c r="F94" s="836">
        <v>3066</v>
      </c>
      <c r="G94" s="836">
        <v>3193</v>
      </c>
      <c r="H94" s="836">
        <v>3323</v>
      </c>
      <c r="I94" s="836">
        <v>3445</v>
      </c>
      <c r="J94" s="836">
        <v>3567</v>
      </c>
      <c r="K94" s="836">
        <v>3700</v>
      </c>
      <c r="L94" s="836">
        <v>3817</v>
      </c>
      <c r="M94" s="836"/>
      <c r="N94" s="836"/>
      <c r="O94" s="836"/>
      <c r="P94" s="836"/>
      <c r="Q94" s="836"/>
      <c r="R94" s="836"/>
      <c r="S94" s="836"/>
      <c r="T94" s="836"/>
      <c r="U94" s="1181"/>
      <c r="V94" s="1178"/>
      <c r="W94" s="1261">
        <f t="shared" si="3"/>
        <v>10</v>
      </c>
    </row>
    <row r="95" spans="1:23" ht="13.8" x14ac:dyDescent="0.3">
      <c r="B95" s="1235">
        <v>10</v>
      </c>
      <c r="C95" s="836">
        <v>2516</v>
      </c>
      <c r="D95" s="836">
        <v>2766</v>
      </c>
      <c r="E95" s="836">
        <v>2901</v>
      </c>
      <c r="F95" s="836">
        <v>3048</v>
      </c>
      <c r="G95" s="836">
        <v>3175</v>
      </c>
      <c r="H95" s="836">
        <v>3305</v>
      </c>
      <c r="I95" s="836">
        <v>3427</v>
      </c>
      <c r="J95" s="836">
        <v>3549</v>
      </c>
      <c r="K95" s="836">
        <v>3682</v>
      </c>
      <c r="L95" s="836">
        <v>3798</v>
      </c>
      <c r="M95" s="836">
        <v>3920</v>
      </c>
      <c r="N95" s="836">
        <v>4038</v>
      </c>
      <c r="O95" s="836">
        <v>4171</v>
      </c>
      <c r="P95" s="836"/>
      <c r="Q95" s="836"/>
      <c r="R95" s="836"/>
      <c r="S95" s="836"/>
      <c r="T95" s="836"/>
      <c r="U95" s="1181"/>
      <c r="V95" s="1178"/>
      <c r="W95" s="1261">
        <f t="shared" si="3"/>
        <v>13</v>
      </c>
    </row>
    <row r="96" spans="1:23" ht="13.8" x14ac:dyDescent="0.3">
      <c r="B96" s="1235">
        <v>11</v>
      </c>
      <c r="C96" s="836">
        <v>2643</v>
      </c>
      <c r="D96" s="836">
        <v>2766</v>
      </c>
      <c r="E96" s="836">
        <v>2901</v>
      </c>
      <c r="F96" s="836">
        <v>3048</v>
      </c>
      <c r="G96" s="836">
        <v>3175</v>
      </c>
      <c r="H96" s="836">
        <v>3305</v>
      </c>
      <c r="I96" s="836">
        <v>3427</v>
      </c>
      <c r="J96" s="836">
        <v>3682</v>
      </c>
      <c r="K96" s="836">
        <v>3796</v>
      </c>
      <c r="L96" s="836">
        <v>3920</v>
      </c>
      <c r="M96" s="836">
        <v>4038</v>
      </c>
      <c r="N96" s="836">
        <v>4171</v>
      </c>
      <c r="O96" s="836">
        <v>4302</v>
      </c>
      <c r="P96" s="836">
        <v>4431</v>
      </c>
      <c r="Q96" s="836">
        <v>4553</v>
      </c>
      <c r="R96" s="836">
        <v>4678</v>
      </c>
      <c r="S96" s="836">
        <v>4796</v>
      </c>
      <c r="T96" s="836">
        <v>4861</v>
      </c>
      <c r="U96" s="1181"/>
      <c r="V96" s="1178"/>
      <c r="W96" s="1261">
        <f t="shared" si="3"/>
        <v>18</v>
      </c>
    </row>
    <row r="97" spans="2:23" ht="13.8" x14ac:dyDescent="0.3">
      <c r="B97" s="1235">
        <v>12</v>
      </c>
      <c r="C97" s="836">
        <v>3549</v>
      </c>
      <c r="D97" s="836">
        <v>3682</v>
      </c>
      <c r="E97" s="836">
        <v>3796</v>
      </c>
      <c r="F97" s="836">
        <v>3920</v>
      </c>
      <c r="G97" s="836">
        <v>4038</v>
      </c>
      <c r="H97" s="836">
        <v>4171</v>
      </c>
      <c r="I97" s="836">
        <v>4431</v>
      </c>
      <c r="J97" s="836">
        <v>4553</v>
      </c>
      <c r="K97" s="836">
        <v>4678</v>
      </c>
      <c r="L97" s="836">
        <v>4796</v>
      </c>
      <c r="M97" s="836">
        <v>4925</v>
      </c>
      <c r="N97" s="836">
        <v>5050</v>
      </c>
      <c r="O97" s="836">
        <v>5169</v>
      </c>
      <c r="P97" s="836">
        <v>5294</v>
      </c>
      <c r="Q97" s="836">
        <v>5448</v>
      </c>
      <c r="R97" s="836">
        <v>5527</v>
      </c>
      <c r="S97" s="836"/>
      <c r="T97" s="836"/>
      <c r="U97" s="1181"/>
      <c r="V97" s="1178"/>
      <c r="W97" s="1261">
        <f t="shared" si="3"/>
        <v>16</v>
      </c>
    </row>
    <row r="98" spans="2:23" ht="13.8" x14ac:dyDescent="0.3">
      <c r="B98" s="1235">
        <v>13</v>
      </c>
      <c r="C98" s="836">
        <v>4302</v>
      </c>
      <c r="D98" s="836">
        <v>4431</v>
      </c>
      <c r="E98" s="836">
        <v>4553</v>
      </c>
      <c r="F98" s="836">
        <v>4678</v>
      </c>
      <c r="G98" s="836">
        <v>4796</v>
      </c>
      <c r="H98" s="836">
        <v>5050</v>
      </c>
      <c r="I98" s="836">
        <v>5169</v>
      </c>
      <c r="J98" s="836">
        <v>5294</v>
      </c>
      <c r="K98" s="836">
        <v>5448</v>
      </c>
      <c r="L98" s="836">
        <v>5604</v>
      </c>
      <c r="M98" s="836">
        <v>5760</v>
      </c>
      <c r="N98" s="836">
        <v>5914</v>
      </c>
      <c r="O98" s="836">
        <v>5990</v>
      </c>
      <c r="P98" s="836"/>
      <c r="Q98" s="836"/>
      <c r="R98" s="836"/>
      <c r="S98" s="836"/>
      <c r="T98" s="836"/>
      <c r="U98" s="1181"/>
      <c r="V98" s="1178"/>
      <c r="W98" s="1261">
        <f t="shared" si="3"/>
        <v>13</v>
      </c>
    </row>
    <row r="99" spans="2:23" ht="13.8" x14ac:dyDescent="0.3">
      <c r="B99" s="1235">
        <v>14</v>
      </c>
      <c r="C99" s="836">
        <v>4925</v>
      </c>
      <c r="D99" s="836">
        <v>5050</v>
      </c>
      <c r="E99" s="836">
        <v>5294</v>
      </c>
      <c r="F99" s="836">
        <v>5448</v>
      </c>
      <c r="G99" s="836">
        <v>5604</v>
      </c>
      <c r="H99" s="836">
        <v>5760</v>
      </c>
      <c r="I99" s="836">
        <v>5914</v>
      </c>
      <c r="J99" s="836">
        <v>6071</v>
      </c>
      <c r="K99" s="836">
        <v>6237</v>
      </c>
      <c r="L99" s="836">
        <v>6404</v>
      </c>
      <c r="M99" s="836">
        <v>6578</v>
      </c>
      <c r="N99" s="836"/>
      <c r="O99" s="836"/>
      <c r="P99" s="836"/>
      <c r="Q99" s="836"/>
      <c r="R99" s="836"/>
      <c r="S99" s="836"/>
      <c r="T99" s="836"/>
      <c r="U99" s="1181"/>
      <c r="V99" s="1178"/>
      <c r="W99" s="1261">
        <f t="shared" si="3"/>
        <v>11</v>
      </c>
    </row>
    <row r="100" spans="2:23" ht="13.8" x14ac:dyDescent="0.3">
      <c r="B100" s="1235">
        <v>15</v>
      </c>
      <c r="C100" s="836">
        <v>5169</v>
      </c>
      <c r="D100" s="836">
        <v>5294</v>
      </c>
      <c r="E100" s="836">
        <v>5448</v>
      </c>
      <c r="F100" s="836">
        <v>5760</v>
      </c>
      <c r="G100" s="836">
        <v>5914</v>
      </c>
      <c r="H100" s="836">
        <v>6071</v>
      </c>
      <c r="I100" s="836">
        <v>6237</v>
      </c>
      <c r="J100" s="836">
        <v>6404</v>
      </c>
      <c r="K100" s="836">
        <v>6578</v>
      </c>
      <c r="L100" s="836">
        <v>6785</v>
      </c>
      <c r="M100" s="836">
        <v>7003</v>
      </c>
      <c r="N100" s="836">
        <v>7225</v>
      </c>
      <c r="O100" s="836"/>
      <c r="P100" s="836"/>
      <c r="Q100" s="836"/>
      <c r="R100" s="836"/>
      <c r="S100" s="836"/>
      <c r="T100" s="836"/>
      <c r="U100" s="1183"/>
      <c r="V100" s="1180"/>
      <c r="W100" s="1261">
        <f t="shared" si="3"/>
        <v>12</v>
      </c>
    </row>
    <row r="101" spans="2:23" ht="13.8" x14ac:dyDescent="0.3">
      <c r="B101" s="1235">
        <v>16</v>
      </c>
      <c r="C101" s="836">
        <v>5604</v>
      </c>
      <c r="D101" s="836">
        <v>5760</v>
      </c>
      <c r="E101" s="836">
        <v>5914</v>
      </c>
      <c r="F101" s="836">
        <v>6237</v>
      </c>
      <c r="G101" s="836">
        <v>6404</v>
      </c>
      <c r="H101" s="836">
        <v>6578</v>
      </c>
      <c r="I101" s="836">
        <v>6785</v>
      </c>
      <c r="J101" s="836">
        <v>7003</v>
      </c>
      <c r="K101" s="836">
        <v>7225</v>
      </c>
      <c r="L101" s="836">
        <v>7455</v>
      </c>
      <c r="M101" s="836">
        <v>7689</v>
      </c>
      <c r="N101" s="836">
        <v>7934</v>
      </c>
      <c r="O101" s="836"/>
      <c r="P101" s="836"/>
      <c r="Q101" s="836"/>
      <c r="R101" s="836"/>
      <c r="S101" s="836"/>
      <c r="T101" s="836"/>
      <c r="U101" s="1183"/>
      <c r="V101" s="1180"/>
      <c r="W101" s="1261">
        <f t="shared" si="3"/>
        <v>12</v>
      </c>
    </row>
    <row r="103" spans="2:23" ht="13.8" x14ac:dyDescent="0.3">
      <c r="B103" s="1259" t="s">
        <v>382</v>
      </c>
      <c r="C103" s="1326">
        <v>44197</v>
      </c>
      <c r="D103" s="1327"/>
      <c r="E103" s="1263"/>
      <c r="F103" s="1235"/>
      <c r="G103" s="1235"/>
      <c r="H103" s="1235"/>
      <c r="I103" s="1235"/>
      <c r="J103" s="1235"/>
      <c r="K103" s="1235"/>
      <c r="L103" s="1235"/>
      <c r="M103" s="1235"/>
      <c r="N103" s="1235"/>
      <c r="O103" s="1235"/>
      <c r="P103" s="1235"/>
      <c r="Q103" s="1235"/>
      <c r="R103" s="1235"/>
      <c r="S103" s="1235"/>
      <c r="T103" s="1235"/>
      <c r="U103" s="1235"/>
      <c r="V103" s="1235"/>
      <c r="W103" s="1235"/>
    </row>
    <row r="104" spans="2:23" ht="13.8" x14ac:dyDescent="0.25">
      <c r="B104" s="1234" t="s">
        <v>162</v>
      </c>
      <c r="C104" s="1236">
        <v>1</v>
      </c>
      <c r="D104" s="1236">
        <v>2</v>
      </c>
      <c r="E104" s="1236">
        <v>3</v>
      </c>
      <c r="F104" s="1236">
        <v>4</v>
      </c>
      <c r="G104" s="1236">
        <v>5</v>
      </c>
      <c r="H104" s="1236">
        <v>6</v>
      </c>
      <c r="I104" s="1236">
        <v>7</v>
      </c>
      <c r="J104" s="1236">
        <v>8</v>
      </c>
      <c r="K104" s="1236">
        <v>9</v>
      </c>
      <c r="L104" s="1236">
        <v>10</v>
      </c>
      <c r="M104" s="1236">
        <v>11</v>
      </c>
      <c r="N104" s="1236">
        <v>12</v>
      </c>
      <c r="O104" s="1236">
        <v>13</v>
      </c>
      <c r="P104" s="1236">
        <v>14</v>
      </c>
      <c r="Q104" s="1236">
        <v>15</v>
      </c>
      <c r="R104" s="1236">
        <v>16</v>
      </c>
      <c r="S104" s="1236">
        <v>17</v>
      </c>
      <c r="T104" s="1236">
        <v>18</v>
      </c>
      <c r="U104" s="1236">
        <v>19</v>
      </c>
      <c r="V104" s="1236">
        <v>20</v>
      </c>
      <c r="W104" s="1236" t="s">
        <v>163</v>
      </c>
    </row>
    <row r="105" spans="2:23" ht="13.8" x14ac:dyDescent="0.3">
      <c r="B105" s="1319" t="s">
        <v>586</v>
      </c>
      <c r="C105" s="1310">
        <v>2738</v>
      </c>
      <c r="D105" s="1310">
        <v>2823</v>
      </c>
      <c r="E105" s="1310">
        <v>2910</v>
      </c>
      <c r="F105" s="1310">
        <v>3001</v>
      </c>
      <c r="G105" s="1310">
        <v>3094</v>
      </c>
      <c r="H105" s="1310">
        <v>3189</v>
      </c>
      <c r="I105" s="1310">
        <v>3289</v>
      </c>
      <c r="J105" s="1310">
        <v>3391</v>
      </c>
      <c r="K105" s="1310">
        <v>3496</v>
      </c>
      <c r="L105" s="1310">
        <v>3604</v>
      </c>
      <c r="M105" s="1310">
        <v>3716</v>
      </c>
      <c r="N105" s="1310">
        <v>3831</v>
      </c>
      <c r="O105" s="1310">
        <v>3949</v>
      </c>
      <c r="P105" s="1310">
        <v>4072</v>
      </c>
      <c r="Q105" s="1310">
        <v>4206</v>
      </c>
      <c r="R105" s="1311"/>
      <c r="S105" s="1311"/>
      <c r="T105" s="1311"/>
      <c r="U105" s="1311"/>
      <c r="V105" s="1311"/>
      <c r="W105" s="1266">
        <f>COUNTA(C105:V105)</f>
        <v>15</v>
      </c>
    </row>
    <row r="106" spans="2:23" ht="13.8" x14ac:dyDescent="0.3">
      <c r="B106" s="1319" t="s">
        <v>587</v>
      </c>
      <c r="C106" s="1310">
        <v>2820</v>
      </c>
      <c r="D106" s="1310">
        <v>2915</v>
      </c>
      <c r="E106" s="1310">
        <v>3014</v>
      </c>
      <c r="F106" s="1310">
        <v>3116</v>
      </c>
      <c r="G106" s="1310">
        <v>3221</v>
      </c>
      <c r="H106" s="1310">
        <v>3331</v>
      </c>
      <c r="I106" s="1310">
        <v>3442</v>
      </c>
      <c r="J106" s="1310">
        <v>3559</v>
      </c>
      <c r="K106" s="1310">
        <v>3679</v>
      </c>
      <c r="L106" s="1310">
        <v>3804</v>
      </c>
      <c r="M106" s="1310">
        <v>3932</v>
      </c>
      <c r="N106" s="1310">
        <v>4065</v>
      </c>
      <c r="O106" s="1310">
        <v>4202</v>
      </c>
      <c r="P106" s="1310">
        <v>4345</v>
      </c>
      <c r="Q106" s="1310">
        <v>4534</v>
      </c>
      <c r="R106" s="1311"/>
      <c r="S106" s="1311"/>
      <c r="T106" s="1311"/>
      <c r="U106" s="1311"/>
      <c r="V106" s="1311"/>
      <c r="W106" s="1266">
        <f t="shared" ref="W106:W140" si="4">COUNTA(C106:V106)</f>
        <v>15</v>
      </c>
    </row>
    <row r="107" spans="2:23" ht="13.8" x14ac:dyDescent="0.3">
      <c r="B107" s="1319" t="s">
        <v>588</v>
      </c>
      <c r="C107" s="1310">
        <v>2875</v>
      </c>
      <c r="D107" s="1310">
        <v>2999</v>
      </c>
      <c r="E107" s="1310">
        <v>3128</v>
      </c>
      <c r="F107" s="1310">
        <v>3262</v>
      </c>
      <c r="G107" s="1310">
        <v>3402</v>
      </c>
      <c r="H107" s="1310">
        <v>3549</v>
      </c>
      <c r="I107" s="1310">
        <v>3701</v>
      </c>
      <c r="J107" s="1310">
        <v>3861</v>
      </c>
      <c r="K107" s="1310">
        <v>4026</v>
      </c>
      <c r="L107" s="1310">
        <v>4199</v>
      </c>
      <c r="M107" s="1310">
        <v>4380</v>
      </c>
      <c r="N107" s="1310">
        <v>4568</v>
      </c>
      <c r="O107" s="1310">
        <v>4765</v>
      </c>
      <c r="P107" s="1310">
        <v>4970</v>
      </c>
      <c r="Q107" s="1310">
        <v>5184</v>
      </c>
      <c r="R107" s="1311"/>
      <c r="S107" s="1311"/>
      <c r="T107" s="1311"/>
      <c r="U107" s="1311"/>
      <c r="V107" s="1311"/>
      <c r="W107" s="1266">
        <f t="shared" si="4"/>
        <v>15</v>
      </c>
    </row>
    <row r="108" spans="2:23" ht="13.8" x14ac:dyDescent="0.3">
      <c r="B108" s="1319" t="s">
        <v>589</v>
      </c>
      <c r="C108" s="1310">
        <v>2875</v>
      </c>
      <c r="D108" s="1310">
        <v>2999</v>
      </c>
      <c r="E108" s="1310">
        <v>3164</v>
      </c>
      <c r="F108" s="1310">
        <v>3338</v>
      </c>
      <c r="G108" s="1310">
        <v>3513</v>
      </c>
      <c r="H108" s="1310">
        <v>3696</v>
      </c>
      <c r="I108" s="1310">
        <v>3886</v>
      </c>
      <c r="J108" s="1310">
        <v>4079</v>
      </c>
      <c r="K108" s="1310">
        <v>4281</v>
      </c>
      <c r="L108" s="1310">
        <v>4492</v>
      </c>
      <c r="M108" s="1310">
        <v>4708</v>
      </c>
      <c r="N108" s="1310">
        <v>4932</v>
      </c>
      <c r="O108" s="1310">
        <v>5164</v>
      </c>
      <c r="P108" s="1310">
        <v>5402</v>
      </c>
      <c r="Q108" s="1310">
        <v>5657</v>
      </c>
      <c r="R108" s="1311"/>
      <c r="S108" s="1311"/>
      <c r="T108" s="1311"/>
      <c r="U108" s="1311"/>
      <c r="V108" s="1311"/>
      <c r="W108" s="1266">
        <f t="shared" si="4"/>
        <v>15</v>
      </c>
    </row>
    <row r="109" spans="2:23" ht="13.8" x14ac:dyDescent="0.3">
      <c r="B109" s="1320" t="s">
        <v>590</v>
      </c>
      <c r="C109" s="1312">
        <v>3430</v>
      </c>
      <c r="D109" s="1312">
        <v>3538</v>
      </c>
      <c r="E109" s="1312">
        <v>3649</v>
      </c>
      <c r="F109" s="1312">
        <v>3763</v>
      </c>
      <c r="G109" s="1312">
        <v>3881</v>
      </c>
      <c r="H109" s="1312">
        <v>4003</v>
      </c>
      <c r="I109" s="1312">
        <v>4129</v>
      </c>
      <c r="J109" s="1312">
        <v>4259</v>
      </c>
      <c r="K109" s="1312">
        <v>4392</v>
      </c>
      <c r="L109" s="1312">
        <v>4530</v>
      </c>
      <c r="M109" s="1312">
        <v>4673</v>
      </c>
      <c r="N109" s="1312">
        <v>4819</v>
      </c>
      <c r="O109" s="1312">
        <v>4971</v>
      </c>
      <c r="P109" s="1312"/>
      <c r="Q109" s="1312"/>
      <c r="R109" s="1312"/>
      <c r="S109" s="1312"/>
      <c r="T109" s="1312"/>
      <c r="U109" s="1312"/>
      <c r="V109" s="1312"/>
      <c r="W109" s="1261">
        <f t="shared" si="4"/>
        <v>13</v>
      </c>
    </row>
    <row r="110" spans="2:23" ht="13.8" x14ac:dyDescent="0.3">
      <c r="B110" s="1320" t="s">
        <v>591</v>
      </c>
      <c r="C110" s="1312">
        <v>3537</v>
      </c>
      <c r="D110" s="1312">
        <v>3657</v>
      </c>
      <c r="E110" s="1312">
        <v>3782</v>
      </c>
      <c r="F110" s="1312">
        <v>3910</v>
      </c>
      <c r="G110" s="1312">
        <v>4044</v>
      </c>
      <c r="H110" s="1312">
        <v>4181</v>
      </c>
      <c r="I110" s="1312">
        <v>4324</v>
      </c>
      <c r="J110" s="1312">
        <v>4471</v>
      </c>
      <c r="K110" s="1312">
        <v>4623</v>
      </c>
      <c r="L110" s="1312">
        <v>4781</v>
      </c>
      <c r="M110" s="1312">
        <v>4943</v>
      </c>
      <c r="N110" s="1312">
        <v>5112</v>
      </c>
      <c r="O110" s="1312">
        <v>5286</v>
      </c>
      <c r="P110" s="1312">
        <v>5466</v>
      </c>
      <c r="Q110" s="1312">
        <v>5651</v>
      </c>
      <c r="R110" s="1312"/>
      <c r="S110" s="1312"/>
      <c r="T110" s="1312"/>
      <c r="U110" s="1312"/>
      <c r="V110" s="1312"/>
      <c r="W110" s="1261">
        <f t="shared" si="4"/>
        <v>15</v>
      </c>
    </row>
    <row r="111" spans="2:23" ht="13.8" x14ac:dyDescent="0.3">
      <c r="B111" s="1320" t="s">
        <v>592</v>
      </c>
      <c r="C111" s="1312">
        <v>3644</v>
      </c>
      <c r="D111" s="1312">
        <v>3772</v>
      </c>
      <c r="E111" s="1312">
        <v>3905</v>
      </c>
      <c r="F111" s="1312">
        <v>4043</v>
      </c>
      <c r="G111" s="1312">
        <v>4185</v>
      </c>
      <c r="H111" s="1312">
        <v>4333</v>
      </c>
      <c r="I111" s="1312">
        <v>4485</v>
      </c>
      <c r="J111" s="1312">
        <v>4643</v>
      </c>
      <c r="K111" s="1312">
        <v>4807</v>
      </c>
      <c r="L111" s="1312">
        <v>4977</v>
      </c>
      <c r="M111" s="1312">
        <v>5152</v>
      </c>
      <c r="N111" s="1312">
        <v>5334</v>
      </c>
      <c r="O111" s="1312">
        <v>5521</v>
      </c>
      <c r="P111" s="1312">
        <v>5716</v>
      </c>
      <c r="Q111" s="1312">
        <v>5918</v>
      </c>
      <c r="R111" s="1312">
        <v>6125</v>
      </c>
      <c r="S111" s="1312"/>
      <c r="T111" s="1312"/>
      <c r="U111" s="1312"/>
      <c r="V111" s="1312"/>
      <c r="W111" s="1261">
        <f t="shared" si="4"/>
        <v>16</v>
      </c>
    </row>
    <row r="112" spans="2:23" ht="13.8" x14ac:dyDescent="0.3">
      <c r="B112" s="1320" t="s">
        <v>593</v>
      </c>
      <c r="C112" s="1312">
        <v>3750</v>
      </c>
      <c r="D112" s="1312">
        <v>3869</v>
      </c>
      <c r="E112" s="1312">
        <v>3991</v>
      </c>
      <c r="F112" s="1312">
        <v>4117</v>
      </c>
      <c r="G112" s="1312">
        <v>4246</v>
      </c>
      <c r="H112" s="1312">
        <v>4380</v>
      </c>
      <c r="I112" s="1312">
        <v>4518</v>
      </c>
      <c r="J112" s="1312">
        <v>4661</v>
      </c>
      <c r="K112" s="1312">
        <v>4808</v>
      </c>
      <c r="L112" s="1312">
        <v>4959</v>
      </c>
      <c r="M112" s="1312">
        <v>5116</v>
      </c>
      <c r="N112" s="1312">
        <v>5277</v>
      </c>
      <c r="O112" s="1312">
        <v>5443</v>
      </c>
      <c r="P112" s="1312">
        <v>5615</v>
      </c>
      <c r="Q112" s="1312">
        <v>5792</v>
      </c>
      <c r="R112" s="1312">
        <v>5975</v>
      </c>
      <c r="S112" s="1312">
        <v>6163</v>
      </c>
      <c r="T112" s="1312">
        <v>6357</v>
      </c>
      <c r="U112" s="1312"/>
      <c r="V112" s="1312"/>
      <c r="W112" s="1261">
        <f t="shared" si="4"/>
        <v>18</v>
      </c>
    </row>
    <row r="113" spans="2:23" ht="13.8" x14ac:dyDescent="0.3">
      <c r="B113" s="1320" t="s">
        <v>594</v>
      </c>
      <c r="C113" s="1312">
        <v>3501</v>
      </c>
      <c r="D113" s="1312">
        <v>3758</v>
      </c>
      <c r="E113" s="1312">
        <v>4001</v>
      </c>
      <c r="F113" s="1312">
        <v>4256</v>
      </c>
      <c r="G113" s="1312">
        <v>4521</v>
      </c>
      <c r="H113" s="1312">
        <v>4773</v>
      </c>
      <c r="I113" s="1312">
        <v>5024</v>
      </c>
      <c r="J113" s="1312">
        <v>5150</v>
      </c>
      <c r="K113" s="1312">
        <v>5273</v>
      </c>
      <c r="L113" s="1312">
        <v>5398</v>
      </c>
      <c r="M113" s="1312">
        <v>5557</v>
      </c>
      <c r="N113" s="1312">
        <v>5715</v>
      </c>
      <c r="O113" s="1312">
        <v>5872</v>
      </c>
      <c r="P113" s="1312">
        <v>6031</v>
      </c>
      <c r="Q113" s="1312">
        <v>6190</v>
      </c>
      <c r="R113" s="1312">
        <v>6358</v>
      </c>
      <c r="S113" s="1312">
        <v>6529</v>
      </c>
      <c r="T113" s="1312">
        <v>6707</v>
      </c>
      <c r="U113" s="1312"/>
      <c r="V113" s="1312"/>
      <c r="W113" s="1261">
        <f t="shared" si="4"/>
        <v>18</v>
      </c>
    </row>
    <row r="114" spans="2:23" ht="13.8" x14ac:dyDescent="0.3">
      <c r="B114" s="1321" t="s">
        <v>168</v>
      </c>
      <c r="C114" s="1313">
        <v>1701</v>
      </c>
      <c r="D114" s="1313">
        <v>1721</v>
      </c>
      <c r="E114" s="1313">
        <v>1792</v>
      </c>
      <c r="F114" s="1313">
        <v>1824</v>
      </c>
      <c r="G114" s="1313">
        <v>1861</v>
      </c>
      <c r="H114" s="1313">
        <v>1900</v>
      </c>
      <c r="I114" s="1313">
        <v>1950</v>
      </c>
      <c r="J114" s="1313"/>
      <c r="K114" s="1314"/>
      <c r="L114" s="1314"/>
      <c r="M114" s="1314"/>
      <c r="N114" s="1314"/>
      <c r="O114" s="1314"/>
      <c r="P114" s="1314"/>
      <c r="Q114" s="1314"/>
      <c r="R114" s="1314"/>
      <c r="S114" s="1314"/>
      <c r="T114" s="1314"/>
      <c r="U114" s="1314"/>
      <c r="V114" s="1313"/>
      <c r="W114" s="1261">
        <f t="shared" si="4"/>
        <v>7</v>
      </c>
    </row>
    <row r="115" spans="2:23" ht="13.8" x14ac:dyDescent="0.3">
      <c r="B115" s="1322" t="s">
        <v>178</v>
      </c>
      <c r="C115" s="1313">
        <v>1701</v>
      </c>
      <c r="D115" s="1313">
        <v>1757</v>
      </c>
      <c r="E115" s="1313">
        <v>1824</v>
      </c>
      <c r="F115" s="1313">
        <v>1900</v>
      </c>
      <c r="G115" s="1313">
        <v>1950</v>
      </c>
      <c r="H115" s="1313">
        <v>2007</v>
      </c>
      <c r="I115" s="1313">
        <v>2077</v>
      </c>
      <c r="J115" s="1313">
        <v>2143</v>
      </c>
      <c r="K115" s="1314"/>
      <c r="L115" s="1314"/>
      <c r="M115" s="1314"/>
      <c r="N115" s="1314"/>
      <c r="O115" s="1314"/>
      <c r="P115" s="1314"/>
      <c r="Q115" s="1314"/>
      <c r="R115" s="1314"/>
      <c r="S115" s="1314"/>
      <c r="T115" s="1314"/>
      <c r="U115" s="1314"/>
      <c r="V115" s="1313"/>
      <c r="W115" s="1261">
        <f>COUNTA(E115:V115)</f>
        <v>6</v>
      </c>
    </row>
    <row r="116" spans="2:23" ht="13.8" x14ac:dyDescent="0.3">
      <c r="B116" s="1322" t="s">
        <v>169</v>
      </c>
      <c r="C116" s="1313">
        <v>1701</v>
      </c>
      <c r="D116" s="1313">
        <v>1824</v>
      </c>
      <c r="E116" s="1313">
        <v>1900</v>
      </c>
      <c r="F116" s="1313">
        <v>2007</v>
      </c>
      <c r="G116" s="1313">
        <v>2077</v>
      </c>
      <c r="H116" s="1313">
        <v>2143</v>
      </c>
      <c r="I116" s="1313">
        <v>2209</v>
      </c>
      <c r="J116" s="1313"/>
      <c r="K116" s="1314"/>
      <c r="L116" s="1314"/>
      <c r="M116" s="1314"/>
      <c r="N116" s="1314"/>
      <c r="O116" s="1314"/>
      <c r="P116" s="1314"/>
      <c r="Q116" s="1314"/>
      <c r="R116" s="1314"/>
      <c r="S116" s="1314"/>
      <c r="T116" s="1314"/>
      <c r="U116" s="1314"/>
      <c r="V116" s="1313"/>
      <c r="W116" s="1261">
        <f>COUNTA(E116:V116)</f>
        <v>5</v>
      </c>
    </row>
    <row r="117" spans="2:23" ht="13.8" x14ac:dyDescent="0.3">
      <c r="B117" s="1322" t="s">
        <v>585</v>
      </c>
      <c r="C117" s="1313">
        <v>1701</v>
      </c>
      <c r="D117" s="1313">
        <v>1758</v>
      </c>
      <c r="E117" s="1313">
        <v>1814</v>
      </c>
      <c r="F117" s="1313">
        <v>1871</v>
      </c>
      <c r="G117" s="1313"/>
      <c r="H117" s="1313"/>
      <c r="I117" s="1313"/>
      <c r="J117" s="1313"/>
      <c r="K117" s="1313"/>
      <c r="L117" s="1314"/>
      <c r="M117" s="1314"/>
      <c r="N117" s="1314"/>
      <c r="O117" s="1314"/>
      <c r="P117" s="1314"/>
      <c r="Q117" s="1314"/>
      <c r="R117" s="1314"/>
      <c r="S117" s="1314"/>
      <c r="T117" s="1314"/>
      <c r="U117" s="1314"/>
      <c r="V117" s="1313"/>
      <c r="W117" s="1261">
        <f t="shared" si="4"/>
        <v>4</v>
      </c>
    </row>
    <row r="118" spans="2:23" ht="13.8" x14ac:dyDescent="0.3">
      <c r="B118" s="1320" t="s">
        <v>562</v>
      </c>
      <c r="C118" s="1312">
        <v>2738</v>
      </c>
      <c r="D118" s="1312">
        <v>2823</v>
      </c>
      <c r="E118" s="1312">
        <v>2910</v>
      </c>
      <c r="F118" s="1312">
        <v>3001</v>
      </c>
      <c r="G118" s="1312">
        <v>3094</v>
      </c>
      <c r="H118" s="1312">
        <v>3189</v>
      </c>
      <c r="I118" s="1312">
        <v>3289</v>
      </c>
      <c r="J118" s="1312">
        <v>3391</v>
      </c>
      <c r="K118" s="1312">
        <v>3496</v>
      </c>
      <c r="L118" s="1312">
        <v>3604</v>
      </c>
      <c r="M118" s="1312">
        <v>3716</v>
      </c>
      <c r="N118" s="1312">
        <v>3831</v>
      </c>
      <c r="O118" s="1312">
        <v>3949</v>
      </c>
      <c r="P118" s="1312">
        <v>4072</v>
      </c>
      <c r="Q118" s="1312">
        <v>4206</v>
      </c>
      <c r="R118" s="1314"/>
      <c r="S118" s="1314"/>
      <c r="T118" s="1314"/>
      <c r="U118" s="1314"/>
      <c r="V118" s="1313"/>
      <c r="W118" s="1261">
        <f t="shared" si="4"/>
        <v>15</v>
      </c>
    </row>
    <row r="119" spans="2:23" ht="13.8" x14ac:dyDescent="0.3">
      <c r="B119" s="1320" t="s">
        <v>563</v>
      </c>
      <c r="C119" s="1312">
        <v>2820</v>
      </c>
      <c r="D119" s="1312">
        <v>2915</v>
      </c>
      <c r="E119" s="1312">
        <v>3014</v>
      </c>
      <c r="F119" s="1312">
        <v>3116</v>
      </c>
      <c r="G119" s="1312">
        <v>3221</v>
      </c>
      <c r="H119" s="1312">
        <v>3331</v>
      </c>
      <c r="I119" s="1312">
        <v>3442</v>
      </c>
      <c r="J119" s="1312">
        <v>3559</v>
      </c>
      <c r="K119" s="1312">
        <v>3679</v>
      </c>
      <c r="L119" s="1312">
        <v>3804</v>
      </c>
      <c r="M119" s="1312">
        <v>3932</v>
      </c>
      <c r="N119" s="1312">
        <v>4065</v>
      </c>
      <c r="O119" s="1312">
        <v>4202</v>
      </c>
      <c r="P119" s="1312">
        <v>4345</v>
      </c>
      <c r="Q119" s="1312">
        <v>4534</v>
      </c>
      <c r="R119" s="1314"/>
      <c r="S119" s="1314"/>
      <c r="T119" s="1314"/>
      <c r="U119" s="1314"/>
      <c r="V119" s="1313"/>
      <c r="W119" s="1261">
        <f t="shared" si="4"/>
        <v>15</v>
      </c>
    </row>
    <row r="120" spans="2:23" ht="13.8" x14ac:dyDescent="0.3">
      <c r="B120" s="1320" t="s">
        <v>564</v>
      </c>
      <c r="C120" s="1312">
        <v>2875</v>
      </c>
      <c r="D120" s="1312">
        <v>2999</v>
      </c>
      <c r="E120" s="1312">
        <v>3128</v>
      </c>
      <c r="F120" s="1312">
        <v>3262</v>
      </c>
      <c r="G120" s="1312">
        <v>3402</v>
      </c>
      <c r="H120" s="1312">
        <v>3549</v>
      </c>
      <c r="I120" s="1312">
        <v>3701</v>
      </c>
      <c r="J120" s="1312">
        <v>3861</v>
      </c>
      <c r="K120" s="1312">
        <v>4026</v>
      </c>
      <c r="L120" s="1312">
        <v>4199</v>
      </c>
      <c r="M120" s="1312">
        <v>4380</v>
      </c>
      <c r="N120" s="1312">
        <v>4568</v>
      </c>
      <c r="O120" s="1312">
        <v>4765</v>
      </c>
      <c r="P120" s="1312">
        <v>4970</v>
      </c>
      <c r="Q120" s="1312">
        <v>5184</v>
      </c>
      <c r="R120" s="1314"/>
      <c r="S120" s="1314"/>
      <c r="T120" s="1314"/>
      <c r="U120" s="1314"/>
      <c r="V120" s="1313"/>
      <c r="W120" s="1261">
        <f t="shared" si="4"/>
        <v>15</v>
      </c>
    </row>
    <row r="121" spans="2:23" ht="13.8" x14ac:dyDescent="0.3">
      <c r="B121" s="1320" t="s">
        <v>565</v>
      </c>
      <c r="C121" s="1312">
        <v>2875</v>
      </c>
      <c r="D121" s="1312">
        <v>2999</v>
      </c>
      <c r="E121" s="1312">
        <v>3164</v>
      </c>
      <c r="F121" s="1312">
        <v>3338</v>
      </c>
      <c r="G121" s="1312">
        <v>3513</v>
      </c>
      <c r="H121" s="1312">
        <v>3696</v>
      </c>
      <c r="I121" s="1312">
        <v>3886</v>
      </c>
      <c r="J121" s="1312">
        <v>4079</v>
      </c>
      <c r="K121" s="1312">
        <v>4281</v>
      </c>
      <c r="L121" s="1312">
        <v>4492</v>
      </c>
      <c r="M121" s="1312">
        <v>4708</v>
      </c>
      <c r="N121" s="1312">
        <v>4932</v>
      </c>
      <c r="O121" s="1312">
        <v>5164</v>
      </c>
      <c r="P121" s="1312">
        <v>5402</v>
      </c>
      <c r="Q121" s="1312">
        <v>5657</v>
      </c>
      <c r="R121" s="1314"/>
      <c r="S121" s="1314"/>
      <c r="T121" s="1314"/>
      <c r="U121" s="1314"/>
      <c r="V121" s="1313"/>
      <c r="W121" s="1261">
        <f t="shared" si="4"/>
        <v>15</v>
      </c>
    </row>
    <row r="122" spans="2:23" ht="13.8" x14ac:dyDescent="0.3">
      <c r="B122" s="1320" t="s">
        <v>566</v>
      </c>
      <c r="C122" s="1312">
        <v>3624</v>
      </c>
      <c r="D122" s="1312">
        <v>3760</v>
      </c>
      <c r="E122" s="1312">
        <v>3881</v>
      </c>
      <c r="F122" s="1312">
        <v>4126</v>
      </c>
      <c r="G122" s="1312">
        <v>4396</v>
      </c>
      <c r="H122" s="1312">
        <v>4566</v>
      </c>
      <c r="I122" s="1312">
        <v>4739</v>
      </c>
      <c r="J122" s="1312">
        <v>4911</v>
      </c>
      <c r="K122" s="1312">
        <v>5084</v>
      </c>
      <c r="L122" s="1312">
        <v>5255</v>
      </c>
      <c r="M122" s="1312">
        <v>5429</v>
      </c>
      <c r="N122" s="1312">
        <v>5602</v>
      </c>
      <c r="O122" s="1312">
        <v>5775</v>
      </c>
      <c r="P122" s="1312">
        <v>5947</v>
      </c>
      <c r="Q122" s="1312">
        <v>6124</v>
      </c>
      <c r="R122" s="1314"/>
      <c r="S122" s="1314"/>
      <c r="T122" s="1314"/>
      <c r="U122" s="1314"/>
      <c r="V122" s="1313"/>
      <c r="W122" s="1261">
        <f t="shared" si="4"/>
        <v>15</v>
      </c>
    </row>
    <row r="123" spans="2:23" ht="13.8" x14ac:dyDescent="0.3">
      <c r="B123" s="1322" t="s">
        <v>166</v>
      </c>
      <c r="C123" s="1313">
        <f>0.5*C118</f>
        <v>1369</v>
      </c>
      <c r="D123" s="1315"/>
      <c r="E123" s="1315"/>
      <c r="F123" s="1315"/>
      <c r="G123" s="1315"/>
      <c r="H123" s="1315"/>
      <c r="I123" s="1315"/>
      <c r="J123" s="1315"/>
      <c r="K123" s="1315"/>
      <c r="L123" s="1315"/>
      <c r="M123" s="1315"/>
      <c r="N123" s="1315"/>
      <c r="O123" s="1315"/>
      <c r="P123" s="1315"/>
      <c r="Q123" s="1315"/>
      <c r="R123" s="1314"/>
      <c r="S123" s="1316"/>
      <c r="T123" s="1316"/>
      <c r="U123" s="1316"/>
      <c r="V123" s="1315"/>
      <c r="W123" s="1261">
        <f t="shared" si="4"/>
        <v>1</v>
      </c>
    </row>
    <row r="124" spans="2:23" ht="13.8" x14ac:dyDescent="0.3">
      <c r="B124" s="1322" t="s">
        <v>167</v>
      </c>
      <c r="C124" s="1313">
        <f>0.5*C119</f>
        <v>1410</v>
      </c>
      <c r="D124" s="1315"/>
      <c r="E124" s="1315"/>
      <c r="F124" s="1315"/>
      <c r="G124" s="1315"/>
      <c r="H124" s="1315"/>
      <c r="I124" s="1315"/>
      <c r="J124" s="1315"/>
      <c r="K124" s="1315"/>
      <c r="L124" s="1315"/>
      <c r="M124" s="1315"/>
      <c r="N124" s="1315"/>
      <c r="O124" s="1315"/>
      <c r="P124" s="1315"/>
      <c r="Q124" s="1315"/>
      <c r="R124" s="1314"/>
      <c r="S124" s="1316"/>
      <c r="T124" s="1316"/>
      <c r="U124" s="1316"/>
      <c r="V124" s="1315"/>
      <c r="W124" s="1261">
        <f t="shared" si="4"/>
        <v>1</v>
      </c>
    </row>
    <row r="125" spans="2:23" ht="13.8" x14ac:dyDescent="0.3">
      <c r="B125" s="1322">
        <v>1</v>
      </c>
      <c r="C125" s="1313">
        <v>1734</v>
      </c>
      <c r="D125" s="1313">
        <v>1753</v>
      </c>
      <c r="E125" s="1312">
        <v>1824</v>
      </c>
      <c r="F125" s="1312">
        <v>1857</v>
      </c>
      <c r="G125" s="1312">
        <v>1894</v>
      </c>
      <c r="H125" s="1312">
        <v>1933</v>
      </c>
      <c r="I125" s="1312">
        <v>1983</v>
      </c>
      <c r="J125" s="1312"/>
      <c r="K125" s="1312"/>
      <c r="L125" s="1312"/>
      <c r="M125" s="1312"/>
      <c r="N125" s="1312"/>
      <c r="O125" s="1312"/>
      <c r="P125" s="1312"/>
      <c r="Q125" s="1312"/>
      <c r="R125" s="1312"/>
      <c r="S125" s="1312"/>
      <c r="T125" s="1312"/>
      <c r="U125" s="1314"/>
      <c r="V125" s="1313"/>
      <c r="W125" s="1261">
        <f t="shared" si="4"/>
        <v>7</v>
      </c>
    </row>
    <row r="126" spans="2:23" ht="13.8" x14ac:dyDescent="0.3">
      <c r="B126" s="1322">
        <v>2</v>
      </c>
      <c r="C126" s="1313">
        <v>1734</v>
      </c>
      <c r="D126" s="1312">
        <v>1789</v>
      </c>
      <c r="E126" s="1312">
        <v>1857</v>
      </c>
      <c r="F126" s="1312">
        <v>1933</v>
      </c>
      <c r="G126" s="1312">
        <v>1983</v>
      </c>
      <c r="H126" s="1312">
        <v>2040</v>
      </c>
      <c r="I126" s="1312">
        <v>2110</v>
      </c>
      <c r="J126" s="1312">
        <v>2176</v>
      </c>
      <c r="K126" s="1312"/>
      <c r="L126" s="1312"/>
      <c r="M126" s="1312"/>
      <c r="N126" s="1312"/>
      <c r="O126" s="1312"/>
      <c r="P126" s="1312"/>
      <c r="Q126" s="1312"/>
      <c r="R126" s="1312"/>
      <c r="S126" s="1312"/>
      <c r="T126" s="1312"/>
      <c r="U126" s="1314"/>
      <c r="V126" s="1313"/>
      <c r="W126" s="1261">
        <f t="shared" si="4"/>
        <v>8</v>
      </c>
    </row>
    <row r="127" spans="2:23" ht="13.8" x14ac:dyDescent="0.3">
      <c r="B127" s="1322">
        <v>3</v>
      </c>
      <c r="C127" s="1313">
        <v>1734</v>
      </c>
      <c r="D127" s="1312">
        <v>1857</v>
      </c>
      <c r="E127" s="1312">
        <v>1933</v>
      </c>
      <c r="F127" s="1312">
        <v>2040</v>
      </c>
      <c r="G127" s="1312">
        <v>2110</v>
      </c>
      <c r="H127" s="1312">
        <v>2176</v>
      </c>
      <c r="I127" s="1312">
        <v>2241</v>
      </c>
      <c r="J127" s="1312">
        <v>2304</v>
      </c>
      <c r="K127" s="1312">
        <v>2367</v>
      </c>
      <c r="L127" s="1312"/>
      <c r="M127" s="1312"/>
      <c r="N127" s="1312"/>
      <c r="O127" s="1312"/>
      <c r="P127" s="1312"/>
      <c r="Q127" s="1312"/>
      <c r="R127" s="1312"/>
      <c r="S127" s="1312"/>
      <c r="T127" s="1312"/>
      <c r="U127" s="1314"/>
      <c r="V127" s="1313"/>
      <c r="W127" s="1261">
        <f t="shared" si="4"/>
        <v>9</v>
      </c>
    </row>
    <row r="128" spans="2:23" ht="13.8" x14ac:dyDescent="0.3">
      <c r="B128" s="1322">
        <v>4</v>
      </c>
      <c r="C128" s="1313">
        <v>1753</v>
      </c>
      <c r="D128" s="1312">
        <v>1824</v>
      </c>
      <c r="E128" s="1312">
        <v>1894</v>
      </c>
      <c r="F128" s="1312">
        <v>1983</v>
      </c>
      <c r="G128" s="1312">
        <v>2110</v>
      </c>
      <c r="H128" s="1312">
        <v>2176</v>
      </c>
      <c r="I128" s="1312">
        <v>2241</v>
      </c>
      <c r="J128" s="1312">
        <v>2304</v>
      </c>
      <c r="K128" s="1312">
        <v>2367</v>
      </c>
      <c r="L128" s="1312">
        <v>2428</v>
      </c>
      <c r="M128" s="1312">
        <v>2488</v>
      </c>
      <c r="N128" s="1312"/>
      <c r="O128" s="1312"/>
      <c r="P128" s="1312"/>
      <c r="Q128" s="1312"/>
      <c r="R128" s="1312"/>
      <c r="S128" s="1312"/>
      <c r="T128" s="1312"/>
      <c r="U128" s="1314"/>
      <c r="V128" s="1313"/>
      <c r="W128" s="1261">
        <f t="shared" si="4"/>
        <v>11</v>
      </c>
    </row>
    <row r="129" spans="2:23" ht="13.8" x14ac:dyDescent="0.3">
      <c r="B129" s="1322">
        <v>5</v>
      </c>
      <c r="C129" s="1312">
        <v>1789</v>
      </c>
      <c r="D129" s="1312">
        <v>1824</v>
      </c>
      <c r="E129" s="1312">
        <v>1933</v>
      </c>
      <c r="F129" s="1312">
        <v>2040</v>
      </c>
      <c r="G129" s="1312">
        <v>2176</v>
      </c>
      <c r="H129" s="1312">
        <v>2241</v>
      </c>
      <c r="I129" s="1312">
        <v>2304</v>
      </c>
      <c r="J129" s="1312">
        <v>2367</v>
      </c>
      <c r="K129" s="1312">
        <v>2428</v>
      </c>
      <c r="L129" s="1312">
        <v>2488</v>
      </c>
      <c r="M129" s="1312">
        <v>2547</v>
      </c>
      <c r="N129" s="1312">
        <v>2614</v>
      </c>
      <c r="O129" s="1312"/>
      <c r="P129" s="1312"/>
      <c r="Q129" s="1312"/>
      <c r="R129" s="1312"/>
      <c r="S129" s="1312"/>
      <c r="T129" s="1312"/>
      <c r="U129" s="1314"/>
      <c r="V129" s="1313"/>
      <c r="W129" s="1261">
        <f t="shared" si="4"/>
        <v>12</v>
      </c>
    </row>
    <row r="130" spans="2:23" ht="13.8" x14ac:dyDescent="0.3">
      <c r="B130" s="1322">
        <v>6</v>
      </c>
      <c r="C130" s="1312">
        <v>1857</v>
      </c>
      <c r="D130" s="1312">
        <v>1933</v>
      </c>
      <c r="E130" s="1312">
        <v>2176</v>
      </c>
      <c r="F130" s="1312">
        <v>2304</v>
      </c>
      <c r="G130" s="1312">
        <v>2367</v>
      </c>
      <c r="H130" s="1312">
        <v>2428</v>
      </c>
      <c r="I130" s="1312">
        <v>2488</v>
      </c>
      <c r="J130" s="1312">
        <v>2547</v>
      </c>
      <c r="K130" s="1312">
        <v>2614</v>
      </c>
      <c r="L130" s="1312">
        <v>2677</v>
      </c>
      <c r="M130" s="1312">
        <v>2738</v>
      </c>
      <c r="N130" s="1312"/>
      <c r="O130" s="1312"/>
      <c r="P130" s="1312"/>
      <c r="Q130" s="1312"/>
      <c r="R130" s="1312"/>
      <c r="S130" s="1312"/>
      <c r="T130" s="1312"/>
      <c r="U130" s="1314"/>
      <c r="V130" s="1313"/>
      <c r="W130" s="1261">
        <f t="shared" si="4"/>
        <v>11</v>
      </c>
    </row>
    <row r="131" spans="2:23" ht="13.8" x14ac:dyDescent="0.3">
      <c r="B131" s="1322">
        <v>7</v>
      </c>
      <c r="C131" s="1312">
        <v>1983</v>
      </c>
      <c r="D131" s="1312">
        <v>2040</v>
      </c>
      <c r="E131" s="1312">
        <v>2176</v>
      </c>
      <c r="F131" s="1312">
        <v>2428</v>
      </c>
      <c r="G131" s="1312">
        <v>2547</v>
      </c>
      <c r="H131" s="1312">
        <v>2614</v>
      </c>
      <c r="I131" s="1312">
        <v>2677</v>
      </c>
      <c r="J131" s="1312">
        <v>2738</v>
      </c>
      <c r="K131" s="1312">
        <v>2801</v>
      </c>
      <c r="L131" s="1312">
        <v>2868</v>
      </c>
      <c r="M131" s="1312">
        <v>2938</v>
      </c>
      <c r="N131" s="1312">
        <v>3015</v>
      </c>
      <c r="O131" s="1312"/>
      <c r="P131" s="1312"/>
      <c r="Q131" s="1312"/>
      <c r="R131" s="1312"/>
      <c r="S131" s="1312"/>
      <c r="T131" s="1312"/>
      <c r="U131" s="1314"/>
      <c r="V131" s="1313"/>
      <c r="W131" s="1261">
        <f t="shared" si="4"/>
        <v>12</v>
      </c>
    </row>
    <row r="132" spans="2:23" ht="13.8" x14ac:dyDescent="0.3">
      <c r="B132" s="1322">
        <v>8</v>
      </c>
      <c r="C132" s="1312">
        <v>2241</v>
      </c>
      <c r="D132" s="1312">
        <v>2304</v>
      </c>
      <c r="E132" s="1312">
        <v>2428</v>
      </c>
      <c r="F132" s="1312">
        <v>2677</v>
      </c>
      <c r="G132" s="1312">
        <v>2801</v>
      </c>
      <c r="H132" s="1312">
        <v>2938</v>
      </c>
      <c r="I132" s="1312">
        <v>3015</v>
      </c>
      <c r="J132" s="1312">
        <v>3086</v>
      </c>
      <c r="K132" s="1312">
        <v>3149</v>
      </c>
      <c r="L132" s="1312">
        <v>3216</v>
      </c>
      <c r="M132" s="1312">
        <v>3284</v>
      </c>
      <c r="N132" s="1312">
        <v>3347</v>
      </c>
      <c r="O132" s="1312">
        <v>3406</v>
      </c>
      <c r="P132" s="1312"/>
      <c r="Q132" s="1312"/>
      <c r="R132" s="1312"/>
      <c r="S132" s="1312"/>
      <c r="T132" s="1312"/>
      <c r="U132" s="1314"/>
      <c r="V132" s="1313"/>
      <c r="W132" s="1261">
        <f t="shared" si="4"/>
        <v>13</v>
      </c>
    </row>
    <row r="133" spans="2:23" ht="13.8" x14ac:dyDescent="0.3">
      <c r="B133" s="1322">
        <v>9</v>
      </c>
      <c r="C133" s="1312">
        <v>2591</v>
      </c>
      <c r="D133" s="1312">
        <v>2721</v>
      </c>
      <c r="E133" s="1312">
        <v>2985</v>
      </c>
      <c r="F133" s="1312">
        <v>3135</v>
      </c>
      <c r="G133" s="1312">
        <v>3265</v>
      </c>
      <c r="H133" s="1312">
        <v>3398</v>
      </c>
      <c r="I133" s="1312">
        <v>3523</v>
      </c>
      <c r="J133" s="1312">
        <v>3647</v>
      </c>
      <c r="K133" s="1312">
        <v>3784</v>
      </c>
      <c r="L133" s="1312">
        <v>3902</v>
      </c>
      <c r="M133" s="1312"/>
      <c r="N133" s="1312"/>
      <c r="O133" s="1312"/>
      <c r="P133" s="1312"/>
      <c r="Q133" s="1312"/>
      <c r="R133" s="1312"/>
      <c r="S133" s="1312"/>
      <c r="T133" s="1312"/>
      <c r="U133" s="1314"/>
      <c r="V133" s="1313"/>
      <c r="W133" s="1261">
        <f t="shared" si="4"/>
        <v>10</v>
      </c>
    </row>
    <row r="134" spans="2:23" ht="13.8" x14ac:dyDescent="0.3">
      <c r="B134" s="1322">
        <v>10</v>
      </c>
      <c r="C134" s="1312">
        <v>2572</v>
      </c>
      <c r="D134" s="1312">
        <v>2828</v>
      </c>
      <c r="E134" s="1312">
        <v>2966</v>
      </c>
      <c r="F134" s="1312">
        <v>3116</v>
      </c>
      <c r="G134" s="1312">
        <v>3247</v>
      </c>
      <c r="H134" s="1312">
        <v>3379</v>
      </c>
      <c r="I134" s="1312">
        <v>3504</v>
      </c>
      <c r="J134" s="1312">
        <v>3629</v>
      </c>
      <c r="K134" s="1312">
        <v>3765</v>
      </c>
      <c r="L134" s="1312">
        <v>3884</v>
      </c>
      <c r="M134" s="1312">
        <v>4008</v>
      </c>
      <c r="N134" s="1312">
        <v>4128</v>
      </c>
      <c r="O134" s="1312">
        <v>4265</v>
      </c>
      <c r="P134" s="1312"/>
      <c r="Q134" s="1312"/>
      <c r="R134" s="1312"/>
      <c r="S134" s="1312"/>
      <c r="T134" s="1312"/>
      <c r="U134" s="1314"/>
      <c r="V134" s="1313"/>
      <c r="W134" s="1261">
        <f t="shared" si="4"/>
        <v>13</v>
      </c>
    </row>
    <row r="135" spans="2:23" ht="13.8" x14ac:dyDescent="0.3">
      <c r="B135" s="1322">
        <v>11</v>
      </c>
      <c r="C135" s="1312">
        <v>2703</v>
      </c>
      <c r="D135" s="1312">
        <v>2828</v>
      </c>
      <c r="E135" s="1312">
        <v>2966</v>
      </c>
      <c r="F135" s="1312">
        <v>3116</v>
      </c>
      <c r="G135" s="1312">
        <v>3247</v>
      </c>
      <c r="H135" s="1312">
        <v>3379</v>
      </c>
      <c r="I135" s="1312">
        <v>3504</v>
      </c>
      <c r="J135" s="1312">
        <v>3765</v>
      </c>
      <c r="K135" s="1312">
        <v>3884</v>
      </c>
      <c r="L135" s="1312">
        <v>4008</v>
      </c>
      <c r="M135" s="1312">
        <v>4128</v>
      </c>
      <c r="N135" s="1312">
        <v>4265</v>
      </c>
      <c r="O135" s="1312">
        <v>4399</v>
      </c>
      <c r="P135" s="1312">
        <v>4530</v>
      </c>
      <c r="Q135" s="1312">
        <v>4655</v>
      </c>
      <c r="R135" s="1312">
        <v>4783</v>
      </c>
      <c r="S135" s="1312">
        <v>4904</v>
      </c>
      <c r="T135" s="1312">
        <v>4971</v>
      </c>
      <c r="U135" s="1314"/>
      <c r="V135" s="1313"/>
      <c r="W135" s="1261">
        <f t="shared" si="4"/>
        <v>18</v>
      </c>
    </row>
    <row r="136" spans="2:23" ht="13.8" x14ac:dyDescent="0.3">
      <c r="B136" s="1322">
        <v>12</v>
      </c>
      <c r="C136" s="1312">
        <v>3629</v>
      </c>
      <c r="D136" s="1312">
        <v>3765</v>
      </c>
      <c r="E136" s="1312">
        <v>3884</v>
      </c>
      <c r="F136" s="1312">
        <v>4008</v>
      </c>
      <c r="G136" s="1312">
        <v>4128</v>
      </c>
      <c r="H136" s="1312">
        <v>4265</v>
      </c>
      <c r="I136" s="1312">
        <v>4530</v>
      </c>
      <c r="J136" s="1312">
        <v>4655</v>
      </c>
      <c r="K136" s="1312">
        <v>4783</v>
      </c>
      <c r="L136" s="1312">
        <v>4904</v>
      </c>
      <c r="M136" s="1312">
        <v>5036</v>
      </c>
      <c r="N136" s="1312">
        <v>5164</v>
      </c>
      <c r="O136" s="1312">
        <v>5285</v>
      </c>
      <c r="P136" s="1312">
        <v>5413</v>
      </c>
      <c r="Q136" s="1312">
        <v>5571</v>
      </c>
      <c r="R136" s="1312">
        <v>5651</v>
      </c>
      <c r="S136" s="1312"/>
      <c r="T136" s="1312"/>
      <c r="U136" s="1314"/>
      <c r="V136" s="1313"/>
      <c r="W136" s="1261">
        <f t="shared" si="4"/>
        <v>16</v>
      </c>
    </row>
    <row r="137" spans="2:23" ht="13.8" x14ac:dyDescent="0.3">
      <c r="B137" s="1322">
        <v>13</v>
      </c>
      <c r="C137" s="1312">
        <v>4399</v>
      </c>
      <c r="D137" s="1312">
        <v>4530</v>
      </c>
      <c r="E137" s="1312">
        <v>4655</v>
      </c>
      <c r="F137" s="1312">
        <v>4783</v>
      </c>
      <c r="G137" s="1312">
        <v>4904</v>
      </c>
      <c r="H137" s="1312">
        <v>5164</v>
      </c>
      <c r="I137" s="1312">
        <v>5285</v>
      </c>
      <c r="J137" s="1312">
        <v>5413</v>
      </c>
      <c r="K137" s="1312">
        <v>5571</v>
      </c>
      <c r="L137" s="1312">
        <v>5730</v>
      </c>
      <c r="M137" s="1312">
        <v>5890</v>
      </c>
      <c r="N137" s="1312">
        <v>6047</v>
      </c>
      <c r="O137" s="1312">
        <v>6125</v>
      </c>
      <c r="P137" s="1312"/>
      <c r="Q137" s="1312"/>
      <c r="R137" s="1312"/>
      <c r="S137" s="1312"/>
      <c r="T137" s="1312"/>
      <c r="U137" s="1314"/>
      <c r="V137" s="1313"/>
      <c r="W137" s="1261">
        <f t="shared" si="4"/>
        <v>13</v>
      </c>
    </row>
    <row r="138" spans="2:23" ht="13.8" x14ac:dyDescent="0.3">
      <c r="B138" s="1322">
        <v>14</v>
      </c>
      <c r="C138" s="1312">
        <v>5036</v>
      </c>
      <c r="D138" s="1312">
        <v>5164</v>
      </c>
      <c r="E138" s="1312">
        <v>5413</v>
      </c>
      <c r="F138" s="1312">
        <v>5571</v>
      </c>
      <c r="G138" s="1312">
        <v>5730</v>
      </c>
      <c r="H138" s="1312">
        <v>5890</v>
      </c>
      <c r="I138" s="1312">
        <v>6047</v>
      </c>
      <c r="J138" s="1312">
        <v>6208</v>
      </c>
      <c r="K138" s="1312">
        <v>6378</v>
      </c>
      <c r="L138" s="1312">
        <v>6548</v>
      </c>
      <c r="M138" s="1312">
        <v>6726</v>
      </c>
      <c r="N138" s="1312"/>
      <c r="O138" s="1312"/>
      <c r="P138" s="1312"/>
      <c r="Q138" s="1312"/>
      <c r="R138" s="1312"/>
      <c r="S138" s="1312"/>
      <c r="T138" s="1312"/>
      <c r="U138" s="1314"/>
      <c r="V138" s="1313"/>
      <c r="W138" s="1261">
        <f t="shared" si="4"/>
        <v>11</v>
      </c>
    </row>
    <row r="139" spans="2:23" ht="13.8" x14ac:dyDescent="0.3">
      <c r="B139" s="1322">
        <v>15</v>
      </c>
      <c r="C139" s="1312">
        <v>5285</v>
      </c>
      <c r="D139" s="1312">
        <v>5413</v>
      </c>
      <c r="E139" s="1312">
        <v>5571</v>
      </c>
      <c r="F139" s="1312">
        <v>5890</v>
      </c>
      <c r="G139" s="1312">
        <v>6047</v>
      </c>
      <c r="H139" s="1312">
        <v>6208</v>
      </c>
      <c r="I139" s="1312">
        <v>6378</v>
      </c>
      <c r="J139" s="1312">
        <v>6548</v>
      </c>
      <c r="K139" s="1312">
        <v>6726</v>
      </c>
      <c r="L139" s="1312">
        <v>6938</v>
      </c>
      <c r="M139" s="1312">
        <v>7161</v>
      </c>
      <c r="N139" s="1312">
        <v>7388</v>
      </c>
      <c r="O139" s="1312"/>
      <c r="P139" s="1312"/>
      <c r="Q139" s="1312"/>
      <c r="R139" s="1312"/>
      <c r="S139" s="1312"/>
      <c r="T139" s="1312"/>
      <c r="U139" s="1317"/>
      <c r="V139" s="1318"/>
      <c r="W139" s="1261">
        <f t="shared" si="4"/>
        <v>12</v>
      </c>
    </row>
    <row r="140" spans="2:23" ht="13.8" x14ac:dyDescent="0.3">
      <c r="B140" s="1322">
        <v>16</v>
      </c>
      <c r="C140" s="1312">
        <v>5730</v>
      </c>
      <c r="D140" s="1312">
        <v>5890</v>
      </c>
      <c r="E140" s="1312">
        <v>6047</v>
      </c>
      <c r="F140" s="1312">
        <v>6378</v>
      </c>
      <c r="G140" s="1312">
        <v>6548</v>
      </c>
      <c r="H140" s="1312">
        <v>6726</v>
      </c>
      <c r="I140" s="1312">
        <v>6938</v>
      </c>
      <c r="J140" s="1312">
        <v>7161</v>
      </c>
      <c r="K140" s="1312">
        <v>7388</v>
      </c>
      <c r="L140" s="1312">
        <v>7623</v>
      </c>
      <c r="M140" s="1312">
        <v>7862</v>
      </c>
      <c r="N140" s="1312">
        <v>8112</v>
      </c>
      <c r="O140" s="1312"/>
      <c r="P140" s="1312"/>
      <c r="Q140" s="1312"/>
      <c r="R140" s="1312"/>
      <c r="S140" s="1312"/>
      <c r="T140" s="1312"/>
      <c r="U140" s="1317"/>
      <c r="V140" s="1318"/>
      <c r="W140" s="1261">
        <f t="shared" si="4"/>
        <v>12</v>
      </c>
    </row>
  </sheetData>
  <sheetProtection algorithmName="SHA-512" hashValue="+k7+2h0Rd5/R1ZxP58NWUI5NP0SUethrN+21d/Ah9vuzevUBXXED96svExnXSdxNqsjnP0Soqq3oCrZ9vnjzcw==" saltValue="WpQf26jCJ0D/yvXSpWpdZA==" spinCount="100000" sheet="1" objects="1" scenarios="1"/>
  <mergeCells count="3">
    <mergeCell ref="C103:D103"/>
    <mergeCell ref="C2:D2"/>
    <mergeCell ref="C48:D48"/>
  </mergeCells>
  <pageMargins left="0.70866141732283472" right="0.70866141732283472" top="0.74803149606299213" bottom="0.74803149606299213" header="0.31496062992125984" footer="0.31496062992125984"/>
  <pageSetup paperSize="9" scale="39" fitToHeight="2" orientation="landscape" r:id="rId1"/>
  <headerFooter>
    <oddHeader>&amp;L&amp;"Arial,Vet"&amp;F&amp;R&amp;"Arial,Vet"&amp;A</oddHeader>
    <oddFooter>&amp;L&amp;"Arial,Vet"keizer / goedhart&amp;C&amp;"Arial,Vet"pagina &amp;P&amp;R&amp;"Arial,Vet"&amp;D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6">
    <pageSetUpPr fitToPage="1"/>
  </sheetPr>
  <dimension ref="B1:AD1177"/>
  <sheetViews>
    <sheetView showGridLines="0" zoomScale="85" zoomScaleNormal="85" workbookViewId="0">
      <selection activeCell="F13" sqref="F13"/>
    </sheetView>
  </sheetViews>
  <sheetFormatPr defaultColWidth="9.109375" defaultRowHeight="13.8" x14ac:dyDescent="0.3"/>
  <cols>
    <col min="1" max="1" width="3.6640625" style="7" customWidth="1"/>
    <col min="2" max="3" width="2.6640625" style="7" customWidth="1"/>
    <col min="4" max="4" width="45.6640625" style="7" customWidth="1"/>
    <col min="5" max="5" width="2.6640625" style="7" customWidth="1"/>
    <col min="6" max="12" width="15.5546875" style="7" customWidth="1"/>
    <col min="13" max="13" width="2.6640625" style="7" customWidth="1"/>
    <col min="14" max="14" width="14.6640625" style="7" customWidth="1"/>
    <col min="15" max="16384" width="9.109375" style="7"/>
  </cols>
  <sheetData>
    <row r="1" spans="2:14" ht="12.75" customHeight="1" x14ac:dyDescent="0.3"/>
    <row r="2" spans="2:14" x14ac:dyDescent="0.3">
      <c r="B2" s="56"/>
      <c r="C2" s="57"/>
      <c r="D2" s="58"/>
      <c r="E2" s="58"/>
      <c r="F2" s="59"/>
      <c r="G2" s="59"/>
      <c r="H2" s="59"/>
      <c r="I2" s="59"/>
      <c r="J2" s="59"/>
      <c r="K2" s="59"/>
      <c r="L2" s="59"/>
      <c r="M2" s="60"/>
      <c r="N2" s="8"/>
    </row>
    <row r="3" spans="2:14" x14ac:dyDescent="0.3">
      <c r="B3" s="61"/>
      <c r="C3" s="62"/>
      <c r="D3" s="63"/>
      <c r="E3" s="63"/>
      <c r="F3" s="64"/>
      <c r="G3" s="64"/>
      <c r="H3" s="64"/>
      <c r="I3" s="64"/>
      <c r="J3" s="64"/>
      <c r="K3" s="64"/>
      <c r="L3" s="64"/>
      <c r="M3" s="65"/>
      <c r="N3" s="8"/>
    </row>
    <row r="4" spans="2:14" s="455" customFormat="1" ht="18" x14ac:dyDescent="0.35">
      <c r="B4" s="183"/>
      <c r="C4" s="834" t="s">
        <v>326</v>
      </c>
      <c r="D4" s="423"/>
      <c r="E4" s="423"/>
      <c r="F4" s="423"/>
      <c r="G4" s="423"/>
      <c r="H4" s="423"/>
      <c r="I4" s="423"/>
      <c r="J4" s="423"/>
      <c r="K4" s="423"/>
      <c r="L4" s="423"/>
      <c r="M4" s="425"/>
    </row>
    <row r="5" spans="2:14" ht="18" x14ac:dyDescent="0.35">
      <c r="B5" s="66"/>
      <c r="C5" s="68" t="str">
        <f>F11</f>
        <v>Voorbeeldschool</v>
      </c>
      <c r="D5" s="62"/>
      <c r="E5" s="62"/>
      <c r="F5" s="62"/>
      <c r="G5" s="62"/>
      <c r="H5" s="62"/>
      <c r="I5" s="62"/>
      <c r="J5" s="62"/>
      <c r="K5" s="62"/>
      <c r="L5" s="62"/>
      <c r="M5" s="65"/>
    </row>
    <row r="6" spans="2:14" x14ac:dyDescent="0.3">
      <c r="B6" s="61"/>
      <c r="C6" s="62"/>
      <c r="D6" s="69"/>
      <c r="E6" s="69"/>
      <c r="F6" s="70"/>
      <c r="G6" s="70"/>
      <c r="H6" s="71"/>
      <c r="I6" s="62"/>
      <c r="J6" s="62"/>
      <c r="K6" s="62"/>
      <c r="L6" s="62"/>
      <c r="M6" s="65"/>
    </row>
    <row r="7" spans="2:14" x14ac:dyDescent="0.3">
      <c r="B7" s="61"/>
      <c r="C7" s="62"/>
      <c r="D7" s="69"/>
      <c r="E7" s="69"/>
      <c r="F7" s="70"/>
      <c r="G7" s="70"/>
      <c r="H7" s="71"/>
      <c r="I7" s="62"/>
      <c r="J7" s="62"/>
      <c r="K7" s="62"/>
      <c r="L7" s="62"/>
      <c r="M7" s="65"/>
    </row>
    <row r="8" spans="2:14" x14ac:dyDescent="0.3">
      <c r="B8" s="61"/>
      <c r="C8" s="62"/>
      <c r="D8" s="69"/>
      <c r="E8" s="69"/>
      <c r="F8" s="70"/>
      <c r="G8" s="70"/>
      <c r="H8" s="71"/>
      <c r="I8" s="62"/>
      <c r="J8" s="62"/>
      <c r="K8" s="62"/>
      <c r="L8" s="62"/>
      <c r="M8" s="65"/>
    </row>
    <row r="9" spans="2:14" x14ac:dyDescent="0.3">
      <c r="B9" s="61"/>
      <c r="C9" s="62"/>
      <c r="D9" s="69"/>
      <c r="E9" s="69"/>
      <c r="F9" s="70"/>
      <c r="G9" s="70"/>
      <c r="H9" s="71"/>
      <c r="I9" s="62"/>
      <c r="J9" s="62"/>
      <c r="K9" s="62"/>
      <c r="L9" s="62"/>
      <c r="M9" s="65"/>
    </row>
    <row r="10" spans="2:14" x14ac:dyDescent="0.3">
      <c r="B10" s="61"/>
      <c r="C10" s="91"/>
      <c r="D10" s="92"/>
      <c r="E10" s="92"/>
      <c r="F10" s="93"/>
      <c r="G10" s="93"/>
      <c r="H10" s="93"/>
      <c r="I10" s="93"/>
      <c r="J10" s="93"/>
      <c r="K10" s="1244"/>
      <c r="L10" s="1244"/>
      <c r="M10" s="65"/>
    </row>
    <row r="11" spans="2:14" x14ac:dyDescent="0.3">
      <c r="B11" s="61"/>
      <c r="C11" s="94"/>
      <c r="D11" s="95" t="s">
        <v>366</v>
      </c>
      <c r="E11" s="96"/>
      <c r="F11" s="1323" t="s">
        <v>628</v>
      </c>
      <c r="G11" s="1324"/>
      <c r="H11" s="95"/>
      <c r="I11" s="95"/>
      <c r="J11" s="95"/>
      <c r="K11" s="1245"/>
      <c r="L11" s="1245"/>
      <c r="M11" s="65"/>
    </row>
    <row r="12" spans="2:14" x14ac:dyDescent="0.3">
      <c r="B12" s="61"/>
      <c r="C12" s="94"/>
      <c r="D12" s="95" t="s">
        <v>367</v>
      </c>
      <c r="E12" s="96"/>
      <c r="F12" s="1257" t="s">
        <v>629</v>
      </c>
      <c r="G12" s="97"/>
      <c r="H12" s="95"/>
      <c r="I12" s="95"/>
      <c r="J12" s="95"/>
      <c r="K12" s="1245"/>
      <c r="L12" s="1245"/>
      <c r="M12" s="65"/>
    </row>
    <row r="13" spans="2:14" x14ac:dyDescent="0.3">
      <c r="B13" s="61"/>
      <c r="C13" s="127"/>
      <c r="D13" s="103"/>
      <c r="E13" s="103"/>
      <c r="F13" s="128"/>
      <c r="G13" s="128"/>
      <c r="H13" s="128"/>
      <c r="I13" s="128"/>
      <c r="J13" s="128"/>
      <c r="K13" s="1244"/>
      <c r="L13" s="1244"/>
      <c r="M13" s="65"/>
    </row>
    <row r="14" spans="2:14" x14ac:dyDescent="0.3">
      <c r="B14" s="61"/>
      <c r="C14" s="130"/>
      <c r="D14" s="130"/>
      <c r="E14" s="130"/>
      <c r="F14" s="131"/>
      <c r="G14" s="131"/>
      <c r="H14" s="131"/>
      <c r="I14" s="131"/>
      <c r="J14" s="131"/>
      <c r="K14" s="131"/>
      <c r="L14" s="131"/>
      <c r="M14" s="65"/>
    </row>
    <row r="15" spans="2:14" x14ac:dyDescent="0.3">
      <c r="B15" s="61"/>
      <c r="C15" s="130"/>
      <c r="D15" s="130"/>
      <c r="E15" s="130"/>
      <c r="F15" s="131"/>
      <c r="G15" s="131"/>
      <c r="H15" s="131"/>
      <c r="I15" s="131"/>
      <c r="J15" s="131"/>
      <c r="K15" s="131"/>
      <c r="L15" s="131"/>
      <c r="M15" s="65"/>
    </row>
    <row r="16" spans="2:14" x14ac:dyDescent="0.3">
      <c r="B16" s="61"/>
      <c r="C16" s="130"/>
      <c r="D16" s="130"/>
      <c r="E16" s="130"/>
      <c r="F16" s="131"/>
      <c r="G16" s="131"/>
      <c r="H16" s="131"/>
      <c r="I16" s="131"/>
      <c r="J16" s="131"/>
      <c r="K16" s="131"/>
      <c r="L16" s="131"/>
      <c r="M16" s="65"/>
    </row>
    <row r="17" spans="2:13" s="13" customFormat="1" x14ac:dyDescent="0.3">
      <c r="B17" s="72"/>
      <c r="C17" s="130"/>
      <c r="D17" s="870" t="s">
        <v>180</v>
      </c>
      <c r="E17" s="870"/>
      <c r="F17" s="871" t="str">
        <f>tab!B2</f>
        <v>2020/21</v>
      </c>
      <c r="G17" s="871" t="str">
        <f>tab!C2</f>
        <v>2021/22</v>
      </c>
      <c r="H17" s="871" t="str">
        <f>tab!D2</f>
        <v>2022/23</v>
      </c>
      <c r="I17" s="871" t="str">
        <f>tab!E2</f>
        <v>2023/24</v>
      </c>
      <c r="J17" s="871" t="str">
        <f>tab!F2</f>
        <v>2024/25</v>
      </c>
      <c r="K17" s="871" t="str">
        <f>tab!G2</f>
        <v>2025/26</v>
      </c>
      <c r="L17" s="871" t="str">
        <f>tab!H2</f>
        <v>2026/27</v>
      </c>
      <c r="M17" s="76"/>
    </row>
    <row r="18" spans="2:13" s="13" customFormat="1" x14ac:dyDescent="0.3">
      <c r="B18" s="72"/>
      <c r="C18" s="130"/>
      <c r="D18" s="870" t="s">
        <v>102</v>
      </c>
      <c r="E18" s="870"/>
      <c r="F18" s="871">
        <v>2019</v>
      </c>
      <c r="G18" s="871">
        <f>tab!B4</f>
        <v>2020</v>
      </c>
      <c r="H18" s="871">
        <f>tab!C4</f>
        <v>2021</v>
      </c>
      <c r="I18" s="871">
        <f>tab!D4</f>
        <v>2022</v>
      </c>
      <c r="J18" s="871">
        <f>tab!E4</f>
        <v>2023</v>
      </c>
      <c r="K18" s="871">
        <f>tab!F4</f>
        <v>2024</v>
      </c>
      <c r="L18" s="871">
        <f>tab!G4</f>
        <v>2025</v>
      </c>
      <c r="M18" s="76"/>
    </row>
    <row r="19" spans="2:13" s="13" customFormat="1" x14ac:dyDescent="0.3">
      <c r="B19" s="72"/>
      <c r="C19" s="130"/>
      <c r="D19" s="870" t="s">
        <v>473</v>
      </c>
      <c r="E19" s="870"/>
      <c r="F19" s="871">
        <f>F18+1</f>
        <v>2020</v>
      </c>
      <c r="G19" s="871">
        <f t="shared" ref="G19:K19" si="0">G18+1</f>
        <v>2021</v>
      </c>
      <c r="H19" s="871">
        <f t="shared" si="0"/>
        <v>2022</v>
      </c>
      <c r="I19" s="871">
        <f t="shared" si="0"/>
        <v>2023</v>
      </c>
      <c r="J19" s="871">
        <f t="shared" si="0"/>
        <v>2024</v>
      </c>
      <c r="K19" s="871">
        <f t="shared" si="0"/>
        <v>2025</v>
      </c>
      <c r="L19" s="871">
        <f t="shared" ref="L19" si="1">L18+1</f>
        <v>2026</v>
      </c>
      <c r="M19" s="76"/>
    </row>
    <row r="20" spans="2:13" x14ac:dyDescent="0.3">
      <c r="B20" s="61"/>
      <c r="C20" s="130"/>
      <c r="D20" s="870"/>
      <c r="E20" s="870"/>
      <c r="F20" s="871"/>
      <c r="G20" s="871"/>
      <c r="H20" s="871"/>
      <c r="I20" s="871"/>
      <c r="J20" s="871"/>
      <c r="K20" s="871"/>
      <c r="L20" s="871"/>
      <c r="M20" s="65"/>
    </row>
    <row r="21" spans="2:13" x14ac:dyDescent="0.3">
      <c r="B21" s="61"/>
      <c r="C21" s="91"/>
      <c r="D21" s="92"/>
      <c r="E21" s="92"/>
      <c r="F21" s="93"/>
      <c r="G21" s="93"/>
      <c r="H21" s="93"/>
      <c r="I21" s="93"/>
      <c r="J21" s="93"/>
      <c r="K21" s="93"/>
      <c r="L21" s="93"/>
      <c r="M21" s="65"/>
    </row>
    <row r="22" spans="2:13" x14ac:dyDescent="0.3">
      <c r="B22" s="61"/>
      <c r="C22" s="94"/>
      <c r="D22" s="872" t="s">
        <v>429</v>
      </c>
      <c r="E22" s="96"/>
      <c r="F22" s="98"/>
      <c r="G22" s="98"/>
      <c r="H22" s="98"/>
      <c r="I22" s="98"/>
      <c r="J22" s="98"/>
      <c r="K22" s="98"/>
      <c r="L22" s="98"/>
      <c r="M22" s="65"/>
    </row>
    <row r="23" spans="2:13" x14ac:dyDescent="0.3">
      <c r="B23" s="61"/>
      <c r="C23" s="94"/>
      <c r="D23" s="873"/>
      <c r="E23" s="96"/>
      <c r="F23" s="98"/>
      <c r="G23" s="98"/>
      <c r="H23" s="98"/>
      <c r="I23" s="98"/>
      <c r="J23" s="98"/>
      <c r="K23" s="98"/>
      <c r="L23" s="98"/>
      <c r="M23" s="65"/>
    </row>
    <row r="24" spans="2:13" x14ac:dyDescent="0.3">
      <c r="B24" s="61"/>
      <c r="C24" s="94"/>
      <c r="D24" s="482" t="s">
        <v>324</v>
      </c>
      <c r="E24" s="96"/>
      <c r="F24" s="95"/>
      <c r="G24" s="98"/>
      <c r="H24" s="98"/>
      <c r="I24" s="98"/>
      <c r="J24" s="98"/>
      <c r="K24" s="98"/>
      <c r="L24" s="98"/>
      <c r="M24" s="65"/>
    </row>
    <row r="25" spans="2:13" x14ac:dyDescent="0.3">
      <c r="B25" s="61"/>
      <c r="C25" s="94"/>
      <c r="D25" s="472" t="s">
        <v>54</v>
      </c>
      <c r="E25" s="95"/>
      <c r="F25" s="1258">
        <v>154</v>
      </c>
      <c r="G25" s="1258">
        <v>132</v>
      </c>
      <c r="H25" s="1258">
        <v>117</v>
      </c>
      <c r="I25" s="1258">
        <f t="shared" ref="I25" si="2">H25</f>
        <v>117</v>
      </c>
      <c r="J25" s="1258">
        <f t="shared" ref="J25:L25" si="3">I25</f>
        <v>117</v>
      </c>
      <c r="K25" s="1258">
        <f t="shared" si="3"/>
        <v>117</v>
      </c>
      <c r="L25" s="1258">
        <f t="shared" si="3"/>
        <v>117</v>
      </c>
      <c r="M25" s="65"/>
    </row>
    <row r="26" spans="2:13" x14ac:dyDescent="0.3">
      <c r="B26" s="61"/>
      <c r="C26" s="94"/>
      <c r="D26" s="472" t="s">
        <v>314</v>
      </c>
      <c r="E26" s="95"/>
      <c r="F26" s="1258">
        <v>24</v>
      </c>
      <c r="G26" s="1258">
        <v>22</v>
      </c>
      <c r="H26" s="1258">
        <v>16</v>
      </c>
      <c r="I26" s="1258">
        <f t="shared" ref="I26:L27" si="4">H26</f>
        <v>16</v>
      </c>
      <c r="J26" s="1258">
        <f t="shared" si="4"/>
        <v>16</v>
      </c>
      <c r="K26" s="1258">
        <f t="shared" si="4"/>
        <v>16</v>
      </c>
      <c r="L26" s="1258">
        <f t="shared" si="4"/>
        <v>16</v>
      </c>
      <c r="M26" s="65"/>
    </row>
    <row r="27" spans="2:13" x14ac:dyDescent="0.3">
      <c r="B27" s="61"/>
      <c r="C27" s="94"/>
      <c r="D27" s="123" t="s">
        <v>133</v>
      </c>
      <c r="E27" s="95"/>
      <c r="F27" s="1258">
        <v>80.425039999999996</v>
      </c>
      <c r="G27" s="1258">
        <v>75.049359999999993</v>
      </c>
      <c r="H27" s="1258">
        <f>G27</f>
        <v>75.049359999999993</v>
      </c>
      <c r="I27" s="1258">
        <f t="shared" si="4"/>
        <v>75.049359999999993</v>
      </c>
      <c r="J27" s="1258">
        <f t="shared" si="4"/>
        <v>75.049359999999993</v>
      </c>
      <c r="K27" s="1258">
        <f t="shared" si="4"/>
        <v>75.049359999999993</v>
      </c>
      <c r="L27" s="1258">
        <f t="shared" si="4"/>
        <v>75.049359999999993</v>
      </c>
      <c r="M27" s="65"/>
    </row>
    <row r="28" spans="2:13" x14ac:dyDescent="0.3">
      <c r="B28" s="61"/>
      <c r="C28" s="94"/>
      <c r="D28" s="487"/>
      <c r="E28" s="95"/>
      <c r="F28" s="95"/>
      <c r="G28" s="95"/>
      <c r="H28" s="95"/>
      <c r="I28" s="95"/>
      <c r="J28" s="95"/>
      <c r="K28" s="95"/>
      <c r="L28" s="95"/>
      <c r="M28" s="65"/>
    </row>
    <row r="29" spans="2:13" x14ac:dyDescent="0.3">
      <c r="B29" s="61"/>
      <c r="C29" s="94"/>
      <c r="D29" s="482" t="s">
        <v>315</v>
      </c>
      <c r="E29" s="95"/>
      <c r="F29" s="95"/>
      <c r="G29" s="95"/>
      <c r="H29" s="95"/>
      <c r="I29" s="95"/>
      <c r="J29" s="95"/>
      <c r="K29" s="95"/>
      <c r="L29" s="95"/>
      <c r="M29" s="65"/>
    </row>
    <row r="30" spans="2:13" x14ac:dyDescent="0.3">
      <c r="B30" s="61"/>
      <c r="C30" s="94"/>
      <c r="D30" s="472" t="s">
        <v>55</v>
      </c>
      <c r="E30" s="95"/>
      <c r="F30" s="1258">
        <v>154</v>
      </c>
      <c r="G30" s="1258">
        <v>132</v>
      </c>
      <c r="H30" s="1258">
        <f t="shared" ref="H30:L31" si="5">G30</f>
        <v>132</v>
      </c>
      <c r="I30" s="1258">
        <f t="shared" si="5"/>
        <v>132</v>
      </c>
      <c r="J30" s="1258">
        <f t="shared" si="5"/>
        <v>132</v>
      </c>
      <c r="K30" s="1258">
        <f t="shared" si="5"/>
        <v>132</v>
      </c>
      <c r="L30" s="1258">
        <f t="shared" si="5"/>
        <v>132</v>
      </c>
      <c r="M30" s="65"/>
    </row>
    <row r="31" spans="2:13" x14ac:dyDescent="0.3">
      <c r="B31" s="61"/>
      <c r="C31" s="94"/>
      <c r="D31" s="472" t="s">
        <v>56</v>
      </c>
      <c r="E31" s="95"/>
      <c r="F31" s="1258">
        <v>1</v>
      </c>
      <c r="G31" s="1258">
        <f>F31</f>
        <v>1</v>
      </c>
      <c r="H31" s="1258">
        <f t="shared" si="5"/>
        <v>1</v>
      </c>
      <c r="I31" s="1258">
        <f t="shared" si="5"/>
        <v>1</v>
      </c>
      <c r="J31" s="1258">
        <f t="shared" si="5"/>
        <v>1</v>
      </c>
      <c r="K31" s="1258">
        <f t="shared" si="5"/>
        <v>1</v>
      </c>
      <c r="L31" s="1258">
        <f t="shared" si="5"/>
        <v>1</v>
      </c>
      <c r="M31" s="65"/>
    </row>
    <row r="32" spans="2:13" x14ac:dyDescent="0.3">
      <c r="B32" s="61"/>
      <c r="C32" s="127"/>
      <c r="D32" s="478"/>
      <c r="E32" s="137"/>
      <c r="F32" s="137"/>
      <c r="G32" s="137"/>
      <c r="H32" s="137"/>
      <c r="I32" s="137"/>
      <c r="J32" s="137"/>
      <c r="K32" s="137"/>
      <c r="L32" s="137"/>
      <c r="M32" s="65"/>
    </row>
    <row r="33" spans="2:13" x14ac:dyDescent="0.3">
      <c r="B33" s="61"/>
      <c r="C33" s="139"/>
      <c r="D33" s="140"/>
      <c r="E33" s="140"/>
      <c r="F33" s="141"/>
      <c r="G33" s="141"/>
      <c r="H33" s="141"/>
      <c r="I33" s="141"/>
      <c r="J33" s="141"/>
      <c r="K33" s="141"/>
      <c r="L33" s="141"/>
      <c r="M33" s="65"/>
    </row>
    <row r="34" spans="2:13" x14ac:dyDescent="0.3">
      <c r="B34" s="61"/>
      <c r="C34" s="106"/>
      <c r="D34" s="107"/>
      <c r="E34" s="108"/>
      <c r="F34" s="108"/>
      <c r="G34" s="108"/>
      <c r="H34" s="108"/>
      <c r="I34" s="108"/>
      <c r="J34" s="108"/>
      <c r="K34" s="108"/>
      <c r="L34" s="108"/>
      <c r="M34" s="65"/>
    </row>
    <row r="35" spans="2:13" x14ac:dyDescent="0.3">
      <c r="B35" s="61"/>
      <c r="C35" s="106"/>
      <c r="D35" s="875" t="s">
        <v>397</v>
      </c>
      <c r="E35" s="108"/>
      <c r="F35" s="108"/>
      <c r="G35" s="108"/>
      <c r="H35" s="108"/>
      <c r="I35" s="108"/>
      <c r="J35" s="108"/>
      <c r="K35" s="108"/>
      <c r="L35" s="108"/>
      <c r="M35" s="65"/>
    </row>
    <row r="36" spans="2:13" x14ac:dyDescent="0.3">
      <c r="B36" s="61"/>
      <c r="C36" s="106"/>
      <c r="D36" s="151" t="s">
        <v>398</v>
      </c>
      <c r="E36" s="108"/>
      <c r="F36" s="108"/>
      <c r="G36" s="108"/>
      <c r="H36" s="108"/>
      <c r="I36" s="108"/>
      <c r="J36" s="108"/>
      <c r="K36" s="108"/>
      <c r="L36" s="108"/>
      <c r="M36" s="65"/>
    </row>
    <row r="37" spans="2:13" x14ac:dyDescent="0.3">
      <c r="B37" s="61"/>
      <c r="C37" s="106"/>
      <c r="D37" s="14"/>
      <c r="E37" s="108"/>
      <c r="F37" s="108"/>
      <c r="G37" s="108"/>
      <c r="H37" s="108"/>
      <c r="I37" s="108"/>
      <c r="J37" s="108"/>
      <c r="K37" s="108"/>
      <c r="L37" s="108"/>
      <c r="M37" s="65"/>
    </row>
    <row r="38" spans="2:13" x14ac:dyDescent="0.3">
      <c r="B38" s="61"/>
      <c r="C38" s="110"/>
      <c r="D38" s="1029" t="s">
        <v>226</v>
      </c>
      <c r="E38" s="112"/>
      <c r="F38" s="112"/>
      <c r="G38" s="112"/>
      <c r="H38" s="112"/>
      <c r="I38" s="112"/>
      <c r="J38" s="112"/>
      <c r="K38" s="112"/>
      <c r="L38" s="112"/>
      <c r="M38" s="65"/>
    </row>
    <row r="39" spans="2:13" s="789" customFormat="1" x14ac:dyDescent="0.3">
      <c r="B39" s="786"/>
      <c r="C39" s="787"/>
      <c r="D39" s="472" t="s">
        <v>322</v>
      </c>
      <c r="E39" s="472"/>
      <c r="F39" s="842">
        <f t="shared" ref="F39:J39" si="6">IF(F43=0,0,IF(F25&lt;F43,F43,F25-F43))</f>
        <v>0</v>
      </c>
      <c r="G39" s="842">
        <f t="shared" si="6"/>
        <v>0</v>
      </c>
      <c r="H39" s="842">
        <f t="shared" si="6"/>
        <v>0</v>
      </c>
      <c r="I39" s="842">
        <f t="shared" si="6"/>
        <v>0</v>
      </c>
      <c r="J39" s="842">
        <f t="shared" si="6"/>
        <v>0</v>
      </c>
      <c r="K39" s="842">
        <f t="shared" ref="K39:L39" si="7">IF(K43=0,0,IF(K25&lt;K43,K43,K25-K43))</f>
        <v>0</v>
      </c>
      <c r="L39" s="842">
        <f t="shared" si="7"/>
        <v>0</v>
      </c>
      <c r="M39" s="788"/>
    </row>
    <row r="40" spans="2:13" s="789" customFormat="1" x14ac:dyDescent="0.3">
      <c r="B40" s="786"/>
      <c r="C40" s="787"/>
      <c r="D40" s="472" t="s">
        <v>323</v>
      </c>
      <c r="E40" s="472"/>
      <c r="F40" s="842">
        <f t="shared" ref="F40:J40" si="8">IF(F43=0,0,IF(F30&lt;F44,F44,F30-F44))</f>
        <v>0</v>
      </c>
      <c r="G40" s="842">
        <f t="shared" si="8"/>
        <v>0</v>
      </c>
      <c r="H40" s="842">
        <f t="shared" si="8"/>
        <v>0</v>
      </c>
      <c r="I40" s="842">
        <f t="shared" si="8"/>
        <v>0</v>
      </c>
      <c r="J40" s="842">
        <f t="shared" si="8"/>
        <v>0</v>
      </c>
      <c r="K40" s="842">
        <f t="shared" ref="K40:L40" si="9">IF(K43=0,0,IF(K30&lt;K44,K44,K30-K44))</f>
        <v>0</v>
      </c>
      <c r="L40" s="842">
        <f t="shared" si="9"/>
        <v>0</v>
      </c>
      <c r="M40" s="788"/>
    </row>
    <row r="41" spans="2:13" x14ac:dyDescent="0.3">
      <c r="B41" s="61"/>
      <c r="C41" s="110"/>
      <c r="D41" s="487"/>
      <c r="E41" s="112"/>
      <c r="F41" s="112"/>
      <c r="G41" s="112"/>
      <c r="H41" s="112"/>
      <c r="I41" s="112"/>
      <c r="J41" s="112"/>
      <c r="K41" s="112"/>
      <c r="L41" s="112"/>
      <c r="M41" s="65"/>
    </row>
    <row r="42" spans="2:13" x14ac:dyDescent="0.3">
      <c r="B42" s="61"/>
      <c r="C42" s="110"/>
      <c r="D42" s="1029" t="s">
        <v>399</v>
      </c>
      <c r="E42" s="112"/>
      <c r="F42" s="112"/>
      <c r="G42" s="112"/>
      <c r="H42" s="112"/>
      <c r="I42" s="112"/>
      <c r="J42" s="112"/>
      <c r="K42" s="112"/>
      <c r="L42" s="112"/>
      <c r="M42" s="65"/>
    </row>
    <row r="43" spans="2:13" x14ac:dyDescent="0.3">
      <c r="B43" s="61"/>
      <c r="C43" s="114"/>
      <c r="D43" s="472" t="s">
        <v>322</v>
      </c>
      <c r="E43" s="115"/>
      <c r="F43" s="105">
        <v>0</v>
      </c>
      <c r="G43" s="105">
        <f>F43</f>
        <v>0</v>
      </c>
      <c r="H43" s="105">
        <f t="shared" ref="H43:L44" si="10">G43</f>
        <v>0</v>
      </c>
      <c r="I43" s="105">
        <f t="shared" si="10"/>
        <v>0</v>
      </c>
      <c r="J43" s="105">
        <f t="shared" si="10"/>
        <v>0</v>
      </c>
      <c r="K43" s="105">
        <f t="shared" si="10"/>
        <v>0</v>
      </c>
      <c r="L43" s="105">
        <f t="shared" si="10"/>
        <v>0</v>
      </c>
      <c r="M43" s="65"/>
    </row>
    <row r="44" spans="2:13" x14ac:dyDescent="0.3">
      <c r="B44" s="61"/>
      <c r="C44" s="114"/>
      <c r="D44" s="472" t="s">
        <v>323</v>
      </c>
      <c r="E44" s="115"/>
      <c r="F44" s="105">
        <v>0</v>
      </c>
      <c r="G44" s="105">
        <f>F44</f>
        <v>0</v>
      </c>
      <c r="H44" s="105">
        <f t="shared" si="10"/>
        <v>0</v>
      </c>
      <c r="I44" s="105">
        <f t="shared" si="10"/>
        <v>0</v>
      </c>
      <c r="J44" s="105">
        <f t="shared" si="10"/>
        <v>0</v>
      </c>
      <c r="K44" s="105">
        <f t="shared" si="10"/>
        <v>0</v>
      </c>
      <c r="L44" s="105">
        <f t="shared" si="10"/>
        <v>0</v>
      </c>
      <c r="M44" s="65"/>
    </row>
    <row r="45" spans="2:13" x14ac:dyDescent="0.3">
      <c r="B45" s="61"/>
      <c r="C45" s="110"/>
      <c r="D45" s="487"/>
      <c r="E45" s="112"/>
      <c r="F45" s="112"/>
      <c r="G45" s="112"/>
      <c r="H45" s="112"/>
      <c r="I45" s="112"/>
      <c r="J45" s="112"/>
      <c r="K45" s="112"/>
      <c r="L45" s="112"/>
      <c r="M45" s="65"/>
    </row>
    <row r="46" spans="2:13" x14ac:dyDescent="0.3">
      <c r="B46" s="61"/>
      <c r="C46" s="110"/>
      <c r="D46" s="487" t="s">
        <v>328</v>
      </c>
      <c r="E46" s="112"/>
      <c r="F46" s="879">
        <f t="shared" ref="F46:J47" si="11">F39+F43</f>
        <v>0</v>
      </c>
      <c r="G46" s="879">
        <f t="shared" si="11"/>
        <v>0</v>
      </c>
      <c r="H46" s="879">
        <f t="shared" si="11"/>
        <v>0</v>
      </c>
      <c r="I46" s="879">
        <f t="shared" si="11"/>
        <v>0</v>
      </c>
      <c r="J46" s="879">
        <f t="shared" si="11"/>
        <v>0</v>
      </c>
      <c r="K46" s="879">
        <f t="shared" ref="K46:L46" si="12">K39+K43</f>
        <v>0</v>
      </c>
      <c r="L46" s="879">
        <f t="shared" si="12"/>
        <v>0</v>
      </c>
      <c r="M46" s="65"/>
    </row>
    <row r="47" spans="2:13" x14ac:dyDescent="0.3">
      <c r="B47" s="61"/>
      <c r="C47" s="110"/>
      <c r="D47" s="487" t="s">
        <v>325</v>
      </c>
      <c r="E47" s="112"/>
      <c r="F47" s="879">
        <f t="shared" si="11"/>
        <v>0</v>
      </c>
      <c r="G47" s="879">
        <f t="shared" si="11"/>
        <v>0</v>
      </c>
      <c r="H47" s="879">
        <f t="shared" si="11"/>
        <v>0</v>
      </c>
      <c r="I47" s="879">
        <f t="shared" si="11"/>
        <v>0</v>
      </c>
      <c r="J47" s="879">
        <f t="shared" si="11"/>
        <v>0</v>
      </c>
      <c r="K47" s="879">
        <f t="shared" ref="K47:L47" si="13">K40+K44</f>
        <v>0</v>
      </c>
      <c r="L47" s="879">
        <f t="shared" si="13"/>
        <v>0</v>
      </c>
      <c r="M47" s="65"/>
    </row>
    <row r="48" spans="2:13" x14ac:dyDescent="0.3">
      <c r="B48" s="61"/>
      <c r="C48" s="147"/>
      <c r="D48" s="148" t="s">
        <v>341</v>
      </c>
      <c r="E48" s="149"/>
      <c r="F48" s="150">
        <f t="shared" ref="F48:J48" si="14">(IF(F39=0,0,1)+IF(F43=0,0,1))</f>
        <v>0</v>
      </c>
      <c r="G48" s="150">
        <f t="shared" si="14"/>
        <v>0</v>
      </c>
      <c r="H48" s="150">
        <f t="shared" si="14"/>
        <v>0</v>
      </c>
      <c r="I48" s="150">
        <f t="shared" si="14"/>
        <v>0</v>
      </c>
      <c r="J48" s="150">
        <f t="shared" si="14"/>
        <v>0</v>
      </c>
      <c r="K48" s="150">
        <f t="shared" ref="K48:L48" si="15">(IF(K39=0,0,1)+IF(K43=0,0,1))</f>
        <v>0</v>
      </c>
      <c r="L48" s="150">
        <f t="shared" si="15"/>
        <v>0</v>
      </c>
      <c r="M48" s="65"/>
    </row>
    <row r="49" spans="2:13" x14ac:dyDescent="0.3">
      <c r="B49" s="61"/>
      <c r="C49" s="139"/>
      <c r="D49" s="140"/>
      <c r="E49" s="140"/>
      <c r="F49" s="141"/>
      <c r="G49" s="141"/>
      <c r="H49" s="141"/>
      <c r="I49" s="141"/>
      <c r="J49" s="141"/>
      <c r="K49" s="141"/>
      <c r="L49" s="141"/>
      <c r="M49" s="65"/>
    </row>
    <row r="50" spans="2:13" x14ac:dyDescent="0.3">
      <c r="B50" s="61"/>
      <c r="C50" s="142"/>
      <c r="D50" s="143"/>
      <c r="E50" s="143"/>
      <c r="F50" s="143"/>
      <c r="G50" s="143"/>
      <c r="H50" s="143"/>
      <c r="I50" s="143"/>
      <c r="J50" s="143"/>
      <c r="K50" s="143"/>
      <c r="L50" s="143"/>
      <c r="M50" s="65"/>
    </row>
    <row r="51" spans="2:13" x14ac:dyDescent="0.3">
      <c r="B51" s="61"/>
      <c r="C51" s="144"/>
      <c r="D51" s="142"/>
      <c r="E51" s="142"/>
      <c r="F51" s="142"/>
      <c r="G51" s="142"/>
      <c r="H51" s="142"/>
      <c r="I51" s="142"/>
      <c r="J51" s="142"/>
      <c r="K51" s="142"/>
      <c r="L51" s="142"/>
      <c r="M51" s="65"/>
    </row>
    <row r="52" spans="2:13" x14ac:dyDescent="0.3">
      <c r="B52" s="61"/>
      <c r="C52" s="144"/>
      <c r="D52" s="870" t="s">
        <v>342</v>
      </c>
      <c r="E52" s="870"/>
      <c r="F52" s="871">
        <f>tab!B4</f>
        <v>2020</v>
      </c>
      <c r="G52" s="871">
        <f>tab!C4</f>
        <v>2021</v>
      </c>
      <c r="H52" s="871">
        <f>tab!D4</f>
        <v>2022</v>
      </c>
      <c r="I52" s="871">
        <f>tab!E4</f>
        <v>2023</v>
      </c>
      <c r="J52" s="871">
        <f>tab!F4</f>
        <v>2024</v>
      </c>
      <c r="K52" s="871">
        <f>tab!G4</f>
        <v>2025</v>
      </c>
      <c r="L52" s="871">
        <f>tab!H4</f>
        <v>2026</v>
      </c>
      <c r="M52" s="65"/>
    </row>
    <row r="53" spans="2:13" x14ac:dyDescent="0.3">
      <c r="B53" s="61"/>
      <c r="C53" s="144"/>
      <c r="D53" s="870" t="s">
        <v>102</v>
      </c>
      <c r="E53" s="870"/>
      <c r="F53" s="871">
        <f>F18</f>
        <v>2019</v>
      </c>
      <c r="G53" s="871">
        <f t="shared" ref="G53:L53" si="16">F53+1</f>
        <v>2020</v>
      </c>
      <c r="H53" s="871">
        <f t="shared" si="16"/>
        <v>2021</v>
      </c>
      <c r="I53" s="871">
        <f t="shared" si="16"/>
        <v>2022</v>
      </c>
      <c r="J53" s="871">
        <f t="shared" si="16"/>
        <v>2023</v>
      </c>
      <c r="K53" s="871">
        <f t="shared" si="16"/>
        <v>2024</v>
      </c>
      <c r="L53" s="871">
        <f t="shared" si="16"/>
        <v>2025</v>
      </c>
      <c r="M53" s="65"/>
    </row>
    <row r="54" spans="2:13" x14ac:dyDescent="0.3">
      <c r="B54" s="61"/>
      <c r="C54" s="144"/>
      <c r="D54" s="876"/>
      <c r="E54" s="876"/>
      <c r="F54" s="876"/>
      <c r="G54" s="876"/>
      <c r="H54" s="876"/>
      <c r="I54" s="876"/>
      <c r="J54" s="876"/>
      <c r="K54" s="876"/>
      <c r="L54" s="876"/>
      <c r="M54" s="65"/>
    </row>
    <row r="55" spans="2:13" x14ac:dyDescent="0.3">
      <c r="B55" s="61"/>
      <c r="C55" s="138"/>
      <c r="D55" s="92"/>
      <c r="E55" s="92"/>
      <c r="F55" s="92"/>
      <c r="G55" s="92"/>
      <c r="H55" s="92"/>
      <c r="I55" s="92"/>
      <c r="J55" s="92"/>
      <c r="K55" s="92"/>
      <c r="L55" s="92"/>
      <c r="M55" s="65"/>
    </row>
    <row r="56" spans="2:13" x14ac:dyDescent="0.3">
      <c r="B56" s="61"/>
      <c r="C56" s="100"/>
      <c r="D56" s="95" t="s">
        <v>57</v>
      </c>
      <c r="E56" s="95"/>
      <c r="F56" s="145" t="s">
        <v>396</v>
      </c>
      <c r="G56" s="145" t="str">
        <f t="shared" ref="G56:L56" si="17">+F56</f>
        <v>ja</v>
      </c>
      <c r="H56" s="145" t="str">
        <f t="shared" si="17"/>
        <v>ja</v>
      </c>
      <c r="I56" s="145" t="str">
        <f t="shared" si="17"/>
        <v>ja</v>
      </c>
      <c r="J56" s="145" t="str">
        <f t="shared" si="17"/>
        <v>ja</v>
      </c>
      <c r="K56" s="145" t="str">
        <f t="shared" si="17"/>
        <v>ja</v>
      </c>
      <c r="L56" s="145" t="str">
        <f t="shared" si="17"/>
        <v>ja</v>
      </c>
      <c r="M56" s="65"/>
    </row>
    <row r="57" spans="2:13" x14ac:dyDescent="0.3">
      <c r="B57" s="61"/>
      <c r="C57" s="100"/>
      <c r="D57" s="96"/>
      <c r="E57" s="96"/>
      <c r="F57" s="96"/>
      <c r="G57" s="96"/>
      <c r="H57" s="96"/>
      <c r="I57" s="96"/>
      <c r="J57" s="96"/>
      <c r="K57" s="96"/>
      <c r="L57" s="96"/>
      <c r="M57" s="65"/>
    </row>
    <row r="58" spans="2:13" x14ac:dyDescent="0.3">
      <c r="B58" s="61"/>
      <c r="C58" s="100"/>
      <c r="D58" s="99" t="s">
        <v>330</v>
      </c>
      <c r="E58" s="96"/>
      <c r="F58" s="96"/>
      <c r="G58" s="96"/>
      <c r="H58" s="96"/>
      <c r="I58" s="96"/>
      <c r="J58" s="96"/>
      <c r="K58" s="96"/>
      <c r="L58" s="96"/>
      <c r="M58" s="65"/>
    </row>
    <row r="59" spans="2:13" x14ac:dyDescent="0.3">
      <c r="B59" s="61"/>
      <c r="C59" s="100"/>
      <c r="D59" s="101"/>
      <c r="E59" s="96"/>
      <c r="F59" s="96"/>
      <c r="G59" s="96"/>
      <c r="H59" s="96"/>
      <c r="I59" s="96"/>
      <c r="J59" s="96"/>
      <c r="K59" s="96"/>
      <c r="L59" s="96"/>
      <c r="M59" s="65"/>
    </row>
    <row r="60" spans="2:13" x14ac:dyDescent="0.3">
      <c r="B60" s="61"/>
      <c r="C60" s="100"/>
      <c r="D60" s="525" t="s">
        <v>74</v>
      </c>
      <c r="E60" s="96"/>
      <c r="F60" s="96"/>
      <c r="G60" s="96"/>
      <c r="H60" s="96"/>
      <c r="I60" s="96"/>
      <c r="J60" s="96"/>
      <c r="K60" s="96"/>
      <c r="L60" s="96"/>
      <c r="M60" s="65"/>
    </row>
    <row r="61" spans="2:13" x14ac:dyDescent="0.3">
      <c r="B61" s="61"/>
      <c r="C61" s="100"/>
      <c r="D61" s="123" t="s">
        <v>30</v>
      </c>
      <c r="E61" s="96"/>
      <c r="F61" s="878">
        <f t="shared" ref="F61:J61" si="18">IF(F25=0,0,(ROUNDUP(IF(F25&lt;15,2,F25/14),0)))</f>
        <v>11</v>
      </c>
      <c r="G61" s="878">
        <f t="shared" si="18"/>
        <v>10</v>
      </c>
      <c r="H61" s="878">
        <f t="shared" si="18"/>
        <v>9</v>
      </c>
      <c r="I61" s="878">
        <f t="shared" si="18"/>
        <v>9</v>
      </c>
      <c r="J61" s="878">
        <f t="shared" si="18"/>
        <v>9</v>
      </c>
      <c r="K61" s="878">
        <f t="shared" ref="K61:L61" si="19">IF(K25=0,0,(ROUNDUP(IF(K25&lt;15,2,K25/14),0)))</f>
        <v>9</v>
      </c>
      <c r="L61" s="878">
        <f t="shared" si="19"/>
        <v>9</v>
      </c>
      <c r="M61" s="65"/>
    </row>
    <row r="62" spans="2:13" x14ac:dyDescent="0.3">
      <c r="B62" s="61"/>
      <c r="C62" s="100"/>
      <c r="D62" s="123" t="str">
        <f>D38</f>
        <v>Hoofdvestiging</v>
      </c>
      <c r="E62" s="96"/>
      <c r="F62" s="878">
        <f t="shared" ref="F62:J62" si="20">IF(F39=0,0,(ROUNDUP(IF(F39&lt;15,2,F39/14),0)))</f>
        <v>0</v>
      </c>
      <c r="G62" s="878">
        <f t="shared" si="20"/>
        <v>0</v>
      </c>
      <c r="H62" s="878">
        <f t="shared" si="20"/>
        <v>0</v>
      </c>
      <c r="I62" s="878">
        <f t="shared" si="20"/>
        <v>0</v>
      </c>
      <c r="J62" s="878">
        <f t="shared" si="20"/>
        <v>0</v>
      </c>
      <c r="K62" s="878">
        <f t="shared" ref="K62:L62" si="21">IF(K39=0,0,(ROUNDUP(IF(K39&lt;15,2,K39/14),0)))</f>
        <v>0</v>
      </c>
      <c r="L62" s="878">
        <f t="shared" si="21"/>
        <v>0</v>
      </c>
      <c r="M62" s="65"/>
    </row>
    <row r="63" spans="2:13" x14ac:dyDescent="0.3">
      <c r="B63" s="61"/>
      <c r="C63" s="100"/>
      <c r="D63" s="123" t="str">
        <f>D42</f>
        <v xml:space="preserve">Nevenvestiging </v>
      </c>
      <c r="E63" s="96"/>
      <c r="F63" s="878">
        <f t="shared" ref="F63:J63" si="22">IF(F43=0,0,(ROUNDUP(IF(F43&lt;15,2,F43/14),0)))</f>
        <v>0</v>
      </c>
      <c r="G63" s="878">
        <f t="shared" si="22"/>
        <v>0</v>
      </c>
      <c r="H63" s="878">
        <f t="shared" si="22"/>
        <v>0</v>
      </c>
      <c r="I63" s="878">
        <f t="shared" si="22"/>
        <v>0</v>
      </c>
      <c r="J63" s="878">
        <f t="shared" si="22"/>
        <v>0</v>
      </c>
      <c r="K63" s="878">
        <f t="shared" ref="K63:L63" si="23">IF(K43=0,0,(ROUNDUP(IF(K43&lt;15,2,K43/14),0)))</f>
        <v>0</v>
      </c>
      <c r="L63" s="878">
        <f t="shared" si="23"/>
        <v>0</v>
      </c>
      <c r="M63" s="65"/>
    </row>
    <row r="64" spans="2:13" x14ac:dyDescent="0.3">
      <c r="B64" s="61"/>
      <c r="C64" s="100"/>
      <c r="D64" s="123"/>
      <c r="E64" s="96"/>
      <c r="F64" s="96"/>
      <c r="G64" s="96"/>
      <c r="H64" s="96"/>
      <c r="I64" s="96"/>
      <c r="J64" s="96"/>
      <c r="K64" s="96"/>
      <c r="L64" s="96"/>
      <c r="M64" s="65"/>
    </row>
    <row r="65" spans="2:13" x14ac:dyDescent="0.3">
      <c r="B65" s="61"/>
      <c r="C65" s="100"/>
      <c r="D65" s="482" t="s">
        <v>75</v>
      </c>
      <c r="E65" s="96"/>
      <c r="F65" s="96"/>
      <c r="G65" s="96"/>
      <c r="H65" s="96"/>
      <c r="I65" s="96"/>
      <c r="J65" s="96"/>
      <c r="K65" s="96"/>
      <c r="L65" s="96"/>
      <c r="M65" s="65"/>
    </row>
    <row r="66" spans="2:13" x14ac:dyDescent="0.3">
      <c r="B66" s="61"/>
      <c r="C66" s="100"/>
      <c r="D66" s="123" t="s">
        <v>30</v>
      </c>
      <c r="E66" s="96"/>
      <c r="F66" s="878">
        <f t="shared" ref="F66:J68" si="24">LOOKUP(F61,groepenleerlingennu,vloeroppervlaknu)</f>
        <v>1400</v>
      </c>
      <c r="G66" s="878">
        <f t="shared" si="24"/>
        <v>1295</v>
      </c>
      <c r="H66" s="878">
        <f t="shared" si="24"/>
        <v>1190</v>
      </c>
      <c r="I66" s="878">
        <f t="shared" si="24"/>
        <v>1190</v>
      </c>
      <c r="J66" s="878">
        <f t="shared" si="24"/>
        <v>1190</v>
      </c>
      <c r="K66" s="878">
        <f t="shared" ref="K66:L66" si="25">LOOKUP(K61,groepenleerlingennu,vloeroppervlaknu)</f>
        <v>1190</v>
      </c>
      <c r="L66" s="878">
        <f t="shared" si="25"/>
        <v>1190</v>
      </c>
      <c r="M66" s="65"/>
    </row>
    <row r="67" spans="2:13" x14ac:dyDescent="0.3">
      <c r="B67" s="61"/>
      <c r="C67" s="100"/>
      <c r="D67" s="123" t="str">
        <f>D62</f>
        <v>Hoofdvestiging</v>
      </c>
      <c r="E67" s="96"/>
      <c r="F67" s="878">
        <f t="shared" si="24"/>
        <v>0</v>
      </c>
      <c r="G67" s="878">
        <f t="shared" si="24"/>
        <v>0</v>
      </c>
      <c r="H67" s="878">
        <f t="shared" si="24"/>
        <v>0</v>
      </c>
      <c r="I67" s="878">
        <f t="shared" si="24"/>
        <v>0</v>
      </c>
      <c r="J67" s="878">
        <f t="shared" si="24"/>
        <v>0</v>
      </c>
      <c r="K67" s="878">
        <f t="shared" ref="K67:L67" si="26">LOOKUP(K62,groepenleerlingennu,vloeroppervlaknu)</f>
        <v>0</v>
      </c>
      <c r="L67" s="878">
        <f t="shared" si="26"/>
        <v>0</v>
      </c>
      <c r="M67" s="65"/>
    </row>
    <row r="68" spans="2:13" x14ac:dyDescent="0.3">
      <c r="B68" s="61"/>
      <c r="C68" s="100"/>
      <c r="D68" s="123" t="str">
        <f>D63</f>
        <v xml:space="preserve">Nevenvestiging </v>
      </c>
      <c r="E68" s="96"/>
      <c r="F68" s="878">
        <f t="shared" si="24"/>
        <v>0</v>
      </c>
      <c r="G68" s="878">
        <f t="shared" si="24"/>
        <v>0</v>
      </c>
      <c r="H68" s="878">
        <f t="shared" si="24"/>
        <v>0</v>
      </c>
      <c r="I68" s="878">
        <f t="shared" si="24"/>
        <v>0</v>
      </c>
      <c r="J68" s="878">
        <f t="shared" si="24"/>
        <v>0</v>
      </c>
      <c r="K68" s="878">
        <f t="shared" ref="K68:L68" si="27">LOOKUP(K63,groepenleerlingennu,vloeroppervlaknu)</f>
        <v>0</v>
      </c>
      <c r="L68" s="878">
        <f t="shared" si="27"/>
        <v>0</v>
      </c>
      <c r="M68" s="65"/>
    </row>
    <row r="69" spans="2:13" x14ac:dyDescent="0.3">
      <c r="B69" s="61"/>
      <c r="C69" s="100"/>
      <c r="D69" s="123"/>
      <c r="E69" s="96"/>
      <c r="F69" s="96"/>
      <c r="G69" s="96"/>
      <c r="H69" s="96"/>
      <c r="I69" s="96"/>
      <c r="J69" s="96"/>
      <c r="K69" s="96"/>
      <c r="L69" s="96"/>
      <c r="M69" s="65"/>
    </row>
    <row r="70" spans="2:13" x14ac:dyDescent="0.3">
      <c r="B70" s="61"/>
      <c r="C70" s="100"/>
      <c r="D70" s="482" t="s">
        <v>76</v>
      </c>
      <c r="E70" s="96"/>
      <c r="F70" s="96"/>
      <c r="G70" s="96"/>
      <c r="H70" s="96"/>
      <c r="I70" s="96"/>
      <c r="J70" s="96"/>
      <c r="K70" s="96"/>
      <c r="L70" s="96"/>
      <c r="M70" s="65"/>
    </row>
    <row r="71" spans="2:13" x14ac:dyDescent="0.3">
      <c r="B71" s="61"/>
      <c r="C71" s="100"/>
      <c r="D71" s="123" t="str">
        <f>D61</f>
        <v>School zonder nevenvestiging</v>
      </c>
      <c r="E71" s="96"/>
      <c r="F71" s="878">
        <f t="shared" ref="F71:J71" si="28">IF(F30=0,0,(ROUNDUP(IF(F30&lt;15,2,F30/14),0)))</f>
        <v>11</v>
      </c>
      <c r="G71" s="878">
        <f t="shared" si="28"/>
        <v>10</v>
      </c>
      <c r="H71" s="878">
        <f t="shared" si="28"/>
        <v>10</v>
      </c>
      <c r="I71" s="878">
        <f t="shared" si="28"/>
        <v>10</v>
      </c>
      <c r="J71" s="878">
        <f t="shared" si="28"/>
        <v>10</v>
      </c>
      <c r="K71" s="878">
        <f t="shared" ref="K71:L71" si="29">IF(K30=0,0,(ROUNDUP(IF(K30&lt;15,2,K30/14),0)))</f>
        <v>10</v>
      </c>
      <c r="L71" s="878">
        <f t="shared" si="29"/>
        <v>10</v>
      </c>
      <c r="M71" s="65"/>
    </row>
    <row r="72" spans="2:13" x14ac:dyDescent="0.3">
      <c r="B72" s="61"/>
      <c r="C72" s="100"/>
      <c r="D72" s="123" t="str">
        <f>D62</f>
        <v>Hoofdvestiging</v>
      </c>
      <c r="E72" s="96"/>
      <c r="F72" s="878">
        <f t="shared" ref="F72:J72" si="30">IF(F39=0,0,IF(AND($G$56="ja",F40&gt;F39),ROUNDUP(IF(F40&lt;15,2,F40/14),0),ROUNDUP(IF(F39&lt;15,2,F39/14),0)))</f>
        <v>0</v>
      </c>
      <c r="G72" s="878">
        <f t="shared" si="30"/>
        <v>0</v>
      </c>
      <c r="H72" s="878">
        <f t="shared" si="30"/>
        <v>0</v>
      </c>
      <c r="I72" s="878">
        <f t="shared" si="30"/>
        <v>0</v>
      </c>
      <c r="J72" s="878">
        <f t="shared" si="30"/>
        <v>0</v>
      </c>
      <c r="K72" s="878">
        <f t="shared" ref="K72:L72" si="31">IF(K39=0,0,IF(AND($G$56="ja",K40&gt;K39),ROUNDUP(IF(K40&lt;15,2,K40/14),0),ROUNDUP(IF(K39&lt;15,2,K39/14),0)))</f>
        <v>0</v>
      </c>
      <c r="L72" s="878">
        <f t="shared" si="31"/>
        <v>0</v>
      </c>
      <c r="M72" s="65"/>
    </row>
    <row r="73" spans="2:13" x14ac:dyDescent="0.3">
      <c r="B73" s="61"/>
      <c r="C73" s="100"/>
      <c r="D73" s="123" t="str">
        <f>D63</f>
        <v xml:space="preserve">Nevenvestiging </v>
      </c>
      <c r="E73" s="96"/>
      <c r="F73" s="878">
        <f t="shared" ref="F73:J73" si="32">IF(F43=0,0,IF(AND($G$56="ja",F44&gt;F43),ROUNDUP(IF(F44&lt;15,2,F44/14),0),ROUNDUP(IF(F43&lt;15,2,F43/14),0)))</f>
        <v>0</v>
      </c>
      <c r="G73" s="878">
        <f t="shared" si="32"/>
        <v>0</v>
      </c>
      <c r="H73" s="878">
        <f t="shared" si="32"/>
        <v>0</v>
      </c>
      <c r="I73" s="878">
        <f t="shared" si="32"/>
        <v>0</v>
      </c>
      <c r="J73" s="878">
        <f t="shared" si="32"/>
        <v>0</v>
      </c>
      <c r="K73" s="878">
        <f t="shared" ref="K73:L73" si="33">IF(K43=0,0,IF(AND($G$56="ja",K44&gt;K43),ROUNDUP(IF(K44&lt;15,2,K44/14),0),ROUNDUP(IF(K43&lt;15,2,K43/14),0)))</f>
        <v>0</v>
      </c>
      <c r="L73" s="878">
        <f t="shared" si="33"/>
        <v>0</v>
      </c>
      <c r="M73" s="65"/>
    </row>
    <row r="74" spans="2:13" x14ac:dyDescent="0.3">
      <c r="B74" s="61"/>
      <c r="C74" s="100"/>
      <c r="D74" s="123"/>
      <c r="E74" s="96"/>
      <c r="F74" s="96"/>
      <c r="G74" s="96"/>
      <c r="H74" s="96"/>
      <c r="I74" s="96"/>
      <c r="J74" s="96"/>
      <c r="K74" s="96"/>
      <c r="L74" s="96"/>
      <c r="M74" s="65"/>
    </row>
    <row r="75" spans="2:13" x14ac:dyDescent="0.3">
      <c r="B75" s="61"/>
      <c r="C75" s="100"/>
      <c r="D75" s="482" t="s">
        <v>77</v>
      </c>
      <c r="E75" s="96"/>
      <c r="F75" s="96"/>
      <c r="G75" s="96"/>
      <c r="H75" s="96"/>
      <c r="I75" s="96"/>
      <c r="J75" s="96"/>
      <c r="K75" s="96"/>
      <c r="L75" s="96"/>
      <c r="M75" s="65"/>
    </row>
    <row r="76" spans="2:13" x14ac:dyDescent="0.3">
      <c r="B76" s="61"/>
      <c r="C76" s="100"/>
      <c r="D76" s="123" t="str">
        <f>D71</f>
        <v>School zonder nevenvestiging</v>
      </c>
      <c r="E76" s="96"/>
      <c r="F76" s="878">
        <f t="shared" ref="F76:J78" si="34">LOOKUP(F71,groepenleerlingennu,vloeroppervlaknu)</f>
        <v>1400</v>
      </c>
      <c r="G76" s="878">
        <f t="shared" si="34"/>
        <v>1295</v>
      </c>
      <c r="H76" s="878">
        <f t="shared" si="34"/>
        <v>1295</v>
      </c>
      <c r="I76" s="878">
        <f t="shared" si="34"/>
        <v>1295</v>
      </c>
      <c r="J76" s="878">
        <f t="shared" si="34"/>
        <v>1295</v>
      </c>
      <c r="K76" s="878">
        <f t="shared" ref="K76:L76" si="35">LOOKUP(K71,groepenleerlingennu,vloeroppervlaknu)</f>
        <v>1295</v>
      </c>
      <c r="L76" s="878">
        <f t="shared" si="35"/>
        <v>1295</v>
      </c>
      <c r="M76" s="65"/>
    </row>
    <row r="77" spans="2:13" x14ac:dyDescent="0.3">
      <c r="B77" s="61"/>
      <c r="C77" s="100"/>
      <c r="D77" s="123" t="str">
        <f>D62</f>
        <v>Hoofdvestiging</v>
      </c>
      <c r="E77" s="96"/>
      <c r="F77" s="878">
        <f t="shared" si="34"/>
        <v>0</v>
      </c>
      <c r="G77" s="878">
        <f t="shared" si="34"/>
        <v>0</v>
      </c>
      <c r="H77" s="878">
        <f t="shared" si="34"/>
        <v>0</v>
      </c>
      <c r="I77" s="878">
        <f t="shared" si="34"/>
        <v>0</v>
      </c>
      <c r="J77" s="878">
        <f t="shared" si="34"/>
        <v>0</v>
      </c>
      <c r="K77" s="878">
        <f t="shared" ref="K77:L77" si="36">LOOKUP(K72,groepenleerlingennu,vloeroppervlaknu)</f>
        <v>0</v>
      </c>
      <c r="L77" s="878">
        <f t="shared" si="36"/>
        <v>0</v>
      </c>
      <c r="M77" s="65"/>
    </row>
    <row r="78" spans="2:13" x14ac:dyDescent="0.3">
      <c r="B78" s="61"/>
      <c r="C78" s="100"/>
      <c r="D78" s="123" t="str">
        <f>D63</f>
        <v xml:space="preserve">Nevenvestiging </v>
      </c>
      <c r="E78" s="96"/>
      <c r="F78" s="878">
        <f t="shared" si="34"/>
        <v>0</v>
      </c>
      <c r="G78" s="878">
        <f t="shared" si="34"/>
        <v>0</v>
      </c>
      <c r="H78" s="878">
        <f t="shared" si="34"/>
        <v>0</v>
      </c>
      <c r="I78" s="878">
        <f t="shared" si="34"/>
        <v>0</v>
      </c>
      <c r="J78" s="878">
        <f t="shared" si="34"/>
        <v>0</v>
      </c>
      <c r="K78" s="878">
        <f t="shared" ref="K78:L78" si="37">LOOKUP(K73,groepenleerlingennu,vloeroppervlaknu)</f>
        <v>0</v>
      </c>
      <c r="L78" s="878">
        <f t="shared" si="37"/>
        <v>0</v>
      </c>
      <c r="M78" s="65"/>
    </row>
    <row r="79" spans="2:13" x14ac:dyDescent="0.3">
      <c r="B79" s="61"/>
      <c r="C79" s="102"/>
      <c r="D79" s="448"/>
      <c r="E79" s="103"/>
      <c r="F79" s="103"/>
      <c r="G79" s="104"/>
      <c r="H79" s="104"/>
      <c r="I79" s="104"/>
      <c r="J79" s="104"/>
      <c r="K79" s="104"/>
      <c r="L79" s="104"/>
      <c r="M79" s="65"/>
    </row>
    <row r="80" spans="2:13" x14ac:dyDescent="0.3">
      <c r="B80" s="61"/>
      <c r="C80" s="62"/>
      <c r="D80" s="78"/>
      <c r="E80" s="78"/>
      <c r="F80" s="78"/>
      <c r="G80" s="78"/>
      <c r="H80" s="78"/>
      <c r="I80" s="78"/>
      <c r="J80" s="78"/>
      <c r="K80" s="78"/>
      <c r="L80" s="78"/>
      <c r="M80" s="65"/>
    </row>
    <row r="81" spans="2:13" x14ac:dyDescent="0.3">
      <c r="B81" s="80"/>
      <c r="C81" s="81"/>
      <c r="D81" s="82"/>
      <c r="E81" s="82"/>
      <c r="F81" s="82"/>
      <c r="G81" s="82"/>
      <c r="H81" s="82"/>
      <c r="I81" s="82"/>
      <c r="J81" s="82"/>
      <c r="K81" s="82"/>
      <c r="L81" s="82"/>
      <c r="M81" s="84"/>
    </row>
    <row r="1011" spans="4:30" x14ac:dyDescent="0.3">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row>
    <row r="1012" spans="4:30" x14ac:dyDescent="0.3">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row>
    <row r="1013" spans="4:30" x14ac:dyDescent="0.3">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row>
    <row r="1014" spans="4:30" x14ac:dyDescent="0.3">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row>
    <row r="1015" spans="4:30" x14ac:dyDescent="0.3">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row>
    <row r="1016" spans="4:30" x14ac:dyDescent="0.3">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row>
    <row r="1017" spans="4:30" x14ac:dyDescent="0.3">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row>
    <row r="1018" spans="4:30" x14ac:dyDescent="0.3">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row>
    <row r="1019" spans="4:30" x14ac:dyDescent="0.3">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row>
    <row r="1020" spans="4:30" x14ac:dyDescent="0.3">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row>
    <row r="1021" spans="4:30" x14ac:dyDescent="0.3">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row>
    <row r="1022" spans="4:30" x14ac:dyDescent="0.3">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row>
    <row r="1023" spans="4:30" x14ac:dyDescent="0.3">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row>
    <row r="1024" spans="4:30" x14ac:dyDescent="0.3">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row>
    <row r="1025" spans="4:30" x14ac:dyDescent="0.3">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row>
    <row r="1026" spans="4:30" x14ac:dyDescent="0.3">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row>
    <row r="1027" spans="4:30" x14ac:dyDescent="0.3">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row>
    <row r="1028" spans="4:30" x14ac:dyDescent="0.3">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row>
    <row r="1029" spans="4:30" x14ac:dyDescent="0.3">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row>
    <row r="1030" spans="4:30" x14ac:dyDescent="0.3">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row>
    <row r="1031" spans="4:30" x14ac:dyDescent="0.3">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row>
    <row r="1032" spans="4:30" x14ac:dyDescent="0.3">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row>
    <row r="1033" spans="4:30" x14ac:dyDescent="0.3">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row>
    <row r="1034" spans="4:30" x14ac:dyDescent="0.3">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row>
    <row r="1035" spans="4:30" x14ac:dyDescent="0.3">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row>
    <row r="1036" spans="4:30" x14ac:dyDescent="0.3">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row>
    <row r="1037" spans="4:30" x14ac:dyDescent="0.3">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row>
    <row r="1038" spans="4:30" x14ac:dyDescent="0.3">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row>
    <row r="1039" spans="4:30" x14ac:dyDescent="0.3">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row>
    <row r="1040" spans="4:30" x14ac:dyDescent="0.3">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row>
    <row r="1041" spans="4:30" x14ac:dyDescent="0.3">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row>
    <row r="1042" spans="4:30" x14ac:dyDescent="0.3">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row>
    <row r="1043" spans="4:30" x14ac:dyDescent="0.3">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row>
    <row r="1044" spans="4:30" x14ac:dyDescent="0.3">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row>
    <row r="1045" spans="4:30" x14ac:dyDescent="0.3">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row>
    <row r="1046" spans="4:30" x14ac:dyDescent="0.3">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row>
    <row r="1047" spans="4:30" x14ac:dyDescent="0.3">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row>
    <row r="1048" spans="4:30" x14ac:dyDescent="0.3">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row>
    <row r="1049" spans="4:30" x14ac:dyDescent="0.3">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row>
    <row r="1050" spans="4:30" x14ac:dyDescent="0.3">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row>
    <row r="1051" spans="4:30" x14ac:dyDescent="0.3">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row>
    <row r="1052" spans="4:30" x14ac:dyDescent="0.3">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row>
    <row r="1053" spans="4:30" x14ac:dyDescent="0.3">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row>
    <row r="1054" spans="4:30" x14ac:dyDescent="0.3">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row>
    <row r="1055" spans="4:30" x14ac:dyDescent="0.3">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row>
    <row r="1056" spans="4:30" x14ac:dyDescent="0.3">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row>
    <row r="1057" spans="4:30" x14ac:dyDescent="0.3">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row>
    <row r="1058" spans="4:30" x14ac:dyDescent="0.3">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row>
    <row r="1059" spans="4:30" x14ac:dyDescent="0.3">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row>
    <row r="1060" spans="4:30" x14ac:dyDescent="0.3">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row>
    <row r="1061" spans="4:30" x14ac:dyDescent="0.3">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row>
    <row r="1062" spans="4:30" x14ac:dyDescent="0.3">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row>
    <row r="1063" spans="4:30" x14ac:dyDescent="0.3">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row>
    <row r="1064" spans="4:30" x14ac:dyDescent="0.3">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row>
    <row r="1065" spans="4:30" x14ac:dyDescent="0.3">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row>
    <row r="1066" spans="4:30" x14ac:dyDescent="0.3">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row>
    <row r="1067" spans="4:30" x14ac:dyDescent="0.3">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row>
    <row r="1068" spans="4:30" x14ac:dyDescent="0.3">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row>
    <row r="1069" spans="4:30" x14ac:dyDescent="0.3">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row>
    <row r="1070" spans="4:30" x14ac:dyDescent="0.3">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row>
    <row r="1071" spans="4:30" x14ac:dyDescent="0.3">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row>
    <row r="1072" spans="4:30" x14ac:dyDescent="0.3">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row>
    <row r="1073" spans="4:30" x14ac:dyDescent="0.3">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row>
    <row r="1074" spans="4:30" x14ac:dyDescent="0.3">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row>
    <row r="1075" spans="4:30" x14ac:dyDescent="0.3">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row>
    <row r="1076" spans="4:30" x14ac:dyDescent="0.3">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row>
    <row r="1077" spans="4:30" x14ac:dyDescent="0.3">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row>
    <row r="1078" spans="4:30" x14ac:dyDescent="0.3">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row>
    <row r="1079" spans="4:30" x14ac:dyDescent="0.3">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row>
    <row r="1080" spans="4:30" x14ac:dyDescent="0.3">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row>
    <row r="1081" spans="4:30" x14ac:dyDescent="0.3">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row>
    <row r="1082" spans="4:30" x14ac:dyDescent="0.3">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row>
    <row r="1083" spans="4:30" x14ac:dyDescent="0.3">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row>
    <row r="1084" spans="4:30" x14ac:dyDescent="0.3">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row>
    <row r="1085" spans="4:30" x14ac:dyDescent="0.3">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row>
    <row r="1086" spans="4:30" x14ac:dyDescent="0.3">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row>
    <row r="1087" spans="4:30" x14ac:dyDescent="0.3">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row>
    <row r="1088" spans="4:30" x14ac:dyDescent="0.3">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row>
    <row r="1089" spans="4:30" x14ac:dyDescent="0.3">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row>
    <row r="1090" spans="4:30" x14ac:dyDescent="0.3">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row>
    <row r="1091" spans="4:30" x14ac:dyDescent="0.3">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row>
    <row r="1092" spans="4:30" x14ac:dyDescent="0.3">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row>
    <row r="1093" spans="4:30" x14ac:dyDescent="0.3">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row>
    <row r="1094" spans="4:30" x14ac:dyDescent="0.3">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row>
    <row r="1095" spans="4:30" x14ac:dyDescent="0.3">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row>
    <row r="1096" spans="4:30" x14ac:dyDescent="0.3">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row>
    <row r="1097" spans="4:30" x14ac:dyDescent="0.3">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row>
    <row r="1098" spans="4:30" x14ac:dyDescent="0.3">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row>
    <row r="1099" spans="4:30" x14ac:dyDescent="0.3">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row>
    <row r="1100" spans="4:30" x14ac:dyDescent="0.3">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row>
    <row r="1101" spans="4:30" x14ac:dyDescent="0.3">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row>
    <row r="1102" spans="4:30" x14ac:dyDescent="0.3">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row>
    <row r="1103" spans="4:30" x14ac:dyDescent="0.3">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row>
    <row r="1104" spans="4:30" x14ac:dyDescent="0.3">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row>
    <row r="1105" spans="4:30" x14ac:dyDescent="0.3">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row>
    <row r="1106" spans="4:30" x14ac:dyDescent="0.3">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row>
    <row r="1107" spans="4:30" x14ac:dyDescent="0.3">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row>
    <row r="1108" spans="4:30" x14ac:dyDescent="0.3">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row>
    <row r="1109" spans="4:30" x14ac:dyDescent="0.3">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row>
    <row r="1110" spans="4:30" x14ac:dyDescent="0.3">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row>
    <row r="1111" spans="4:30" x14ac:dyDescent="0.3">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row>
    <row r="1112" spans="4:30" x14ac:dyDescent="0.3">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row>
    <row r="1113" spans="4:30" x14ac:dyDescent="0.3">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row>
    <row r="1114" spans="4:30" x14ac:dyDescent="0.3">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row>
    <row r="1115" spans="4:30" x14ac:dyDescent="0.3">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row>
    <row r="1116" spans="4:30" x14ac:dyDescent="0.3">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row>
    <row r="1117" spans="4:30" x14ac:dyDescent="0.3">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row>
    <row r="1118" spans="4:30" x14ac:dyDescent="0.3">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row>
    <row r="1119" spans="4:30" x14ac:dyDescent="0.3">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row>
    <row r="1120" spans="4:30" x14ac:dyDescent="0.3">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row>
    <row r="1121" spans="4:30" x14ac:dyDescent="0.3">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row>
    <row r="1122" spans="4:30" x14ac:dyDescent="0.3">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row>
    <row r="1123" spans="4:30" x14ac:dyDescent="0.3">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row>
    <row r="1124" spans="4:30" x14ac:dyDescent="0.3">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row>
    <row r="1125" spans="4:30" x14ac:dyDescent="0.3">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row>
    <row r="1126" spans="4:30" x14ac:dyDescent="0.3">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row>
    <row r="1127" spans="4:30" x14ac:dyDescent="0.3">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row>
    <row r="1128" spans="4:30" x14ac:dyDescent="0.3">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row>
    <row r="1129" spans="4:30" x14ac:dyDescent="0.3">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row>
    <row r="1130" spans="4:30" x14ac:dyDescent="0.3">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row>
    <row r="1131" spans="4:30" x14ac:dyDescent="0.3">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row>
    <row r="1132" spans="4:30" x14ac:dyDescent="0.3">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row>
    <row r="1133" spans="4:30" x14ac:dyDescent="0.3">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row>
    <row r="1134" spans="4:30" x14ac:dyDescent="0.3">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row>
    <row r="1135" spans="4:30" x14ac:dyDescent="0.3">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row>
    <row r="1136" spans="4:30" x14ac:dyDescent="0.3">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row>
    <row r="1137" spans="4:30" x14ac:dyDescent="0.3">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row>
    <row r="1138" spans="4:30" x14ac:dyDescent="0.3">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row>
    <row r="1139" spans="4:30" x14ac:dyDescent="0.3">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row>
    <row r="1140" spans="4:30" x14ac:dyDescent="0.3">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row>
    <row r="1141" spans="4:30" x14ac:dyDescent="0.3">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row>
    <row r="1142" spans="4:30" x14ac:dyDescent="0.3">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row>
    <row r="1143" spans="4:30" x14ac:dyDescent="0.3">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row>
    <row r="1144" spans="4:30" x14ac:dyDescent="0.3">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row>
    <row r="1145" spans="4:30" x14ac:dyDescent="0.3">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row>
    <row r="1146" spans="4:30" x14ac:dyDescent="0.3">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row>
    <row r="1147" spans="4:30" x14ac:dyDescent="0.3">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row>
    <row r="1148" spans="4:30" x14ac:dyDescent="0.3">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row>
    <row r="1149" spans="4:30" x14ac:dyDescent="0.3">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row>
    <row r="1150" spans="4:30" x14ac:dyDescent="0.3">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row>
    <row r="1151" spans="4:30" x14ac:dyDescent="0.3">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row>
    <row r="1152" spans="4:30" x14ac:dyDescent="0.3">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row>
    <row r="1153" spans="4:30" x14ac:dyDescent="0.3">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row>
    <row r="1154" spans="4:30" x14ac:dyDescent="0.3">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row>
    <row r="1155" spans="4:30" x14ac:dyDescent="0.3">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row>
    <row r="1156" spans="4:30" x14ac:dyDescent="0.3">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row>
    <row r="1157" spans="4:30" x14ac:dyDescent="0.3">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row>
    <row r="1158" spans="4:30" x14ac:dyDescent="0.3">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row>
    <row r="1159" spans="4:30" x14ac:dyDescent="0.3">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row>
    <row r="1160" spans="4:30" x14ac:dyDescent="0.3">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row>
    <row r="1161" spans="4:30" x14ac:dyDescent="0.3">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row>
    <row r="1162" spans="4:30" x14ac:dyDescent="0.3">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row>
    <row r="1163" spans="4:30" x14ac:dyDescent="0.3">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row>
    <row r="1164" spans="4:30" x14ac:dyDescent="0.3">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row>
    <row r="1165" spans="4:30" x14ac:dyDescent="0.3">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row>
    <row r="1166" spans="4:30" x14ac:dyDescent="0.3">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row>
    <row r="1167" spans="4:30" x14ac:dyDescent="0.3">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row>
    <row r="1168" spans="4:30" x14ac:dyDescent="0.3">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row>
    <row r="1169" spans="4:30" x14ac:dyDescent="0.3">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row>
    <row r="1170" spans="4:30" x14ac:dyDescent="0.3">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row>
    <row r="1171" spans="4:30" x14ac:dyDescent="0.3">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row>
    <row r="1172" spans="4:30" x14ac:dyDescent="0.3">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row>
    <row r="1173" spans="4:30" x14ac:dyDescent="0.3">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row>
    <row r="1174" spans="4:30" x14ac:dyDescent="0.3">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row>
    <row r="1175" spans="4:30" x14ac:dyDescent="0.3">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row>
    <row r="1176" spans="4:30" x14ac:dyDescent="0.3">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row>
    <row r="1177" spans="4:30" x14ac:dyDescent="0.3">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row>
  </sheetData>
  <sheetProtection algorithmName="SHA-512" hashValue="mmzTBtiM7XOkiVQDy3Ja0UsrG6FVH+lxEBijdeaWcOKFihq+nhHt6PKCmHnxiexZ6r3CrnWxt24+Ie77n2ghhQ==" saltValue="wANLmBUol2sr0HhIHHnlrQ==" spinCount="100000" sheet="1" objects="1" scenarios="1"/>
  <mergeCells count="1">
    <mergeCell ref="F11:G11"/>
  </mergeCells>
  <phoneticPr fontId="0" type="noConversion"/>
  <dataValidations count="1">
    <dataValidation type="list" allowBlank="1" showInputMessage="1" showErrorMessage="1" sqref="F56:L56" xr:uid="{00000000-0002-0000-0100-000000000000}">
      <formula1>"ja, nee"</formula1>
    </dataValidation>
  </dataValidations>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ignoredErrors>
    <ignoredError sqref="G56:J56"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2"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B1:AF1407"/>
  <sheetViews>
    <sheetView showGridLines="0" zoomScale="85" zoomScaleNormal="85" workbookViewId="0">
      <pane ySplit="11" topLeftCell="A18" activePane="bottomLeft" state="frozen"/>
      <selection activeCell="A4" sqref="A4:XFD4"/>
      <selection pane="bottomLeft" activeCell="S42" sqref="S42"/>
    </sheetView>
  </sheetViews>
  <sheetFormatPr defaultColWidth="9.109375" defaultRowHeight="13.8" x14ac:dyDescent="0.3"/>
  <cols>
    <col min="1" max="1" width="3.6640625" style="7" customWidth="1"/>
    <col min="2" max="3" width="2.6640625" style="7" customWidth="1"/>
    <col min="4" max="4" width="45.6640625" style="7" customWidth="1"/>
    <col min="5" max="5" width="1.6640625" style="7" customWidth="1"/>
    <col min="6" max="6" width="8.6640625" style="7" customWidth="1"/>
    <col min="7" max="7" width="1.6640625" style="7" customWidth="1"/>
    <col min="8" max="14" width="14.6640625" style="7" customWidth="1"/>
    <col min="15" max="15" width="2.6640625" style="7" customWidth="1"/>
    <col min="16" max="16" width="14.6640625" style="7" customWidth="1"/>
    <col min="17" max="17" width="9.109375" style="455"/>
    <col min="18" max="18" width="9.44140625" style="7" bestFit="1" customWidth="1"/>
    <col min="19" max="16384" width="9.109375" style="7"/>
  </cols>
  <sheetData>
    <row r="1" spans="2:21" ht="12.75" customHeight="1" x14ac:dyDescent="0.3"/>
    <row r="2" spans="2:21" s="8" customFormat="1" x14ac:dyDescent="0.3">
      <c r="B2" s="1282" t="s">
        <v>151</v>
      </c>
      <c r="C2" s="57"/>
      <c r="D2" s="57"/>
      <c r="E2" s="57"/>
      <c r="F2" s="57"/>
      <c r="G2" s="57"/>
      <c r="H2" s="57"/>
      <c r="I2" s="57"/>
      <c r="J2" s="57"/>
      <c r="K2" s="57"/>
      <c r="L2" s="57"/>
      <c r="M2" s="57"/>
      <c r="N2" s="57"/>
      <c r="O2" s="60"/>
      <c r="Q2" s="410"/>
    </row>
    <row r="3" spans="2:21" s="8" customFormat="1" x14ac:dyDescent="0.3">
      <c r="B3" s="61"/>
      <c r="C3" s="62"/>
      <c r="D3" s="62"/>
      <c r="E3" s="62"/>
      <c r="F3" s="62"/>
      <c r="G3" s="62"/>
      <c r="H3" s="62"/>
      <c r="I3" s="62"/>
      <c r="J3" s="62"/>
      <c r="K3" s="62"/>
      <c r="L3" s="62"/>
      <c r="M3" s="62"/>
      <c r="N3" s="62"/>
      <c r="O3" s="65"/>
      <c r="Q3" s="410"/>
    </row>
    <row r="4" spans="2:21" s="136" customFormat="1" ht="18" x14ac:dyDescent="0.35">
      <c r="B4" s="849"/>
      <c r="C4" s="834" t="s">
        <v>86</v>
      </c>
      <c r="D4" s="880"/>
      <c r="E4" s="130"/>
      <c r="F4" s="130"/>
      <c r="G4" s="130"/>
      <c r="H4" s="130"/>
      <c r="I4" s="130"/>
      <c r="J4" s="130"/>
      <c r="K4" s="130"/>
      <c r="L4" s="130"/>
      <c r="M4" s="130"/>
      <c r="N4" s="130"/>
      <c r="O4" s="135"/>
    </row>
    <row r="5" spans="2:21" ht="18" x14ac:dyDescent="0.35">
      <c r="B5" s="183"/>
      <c r="C5" s="68" t="str">
        <f>geg!F11</f>
        <v>Voorbeeldschool</v>
      </c>
      <c r="D5" s="68"/>
      <c r="E5" s="62"/>
      <c r="F5" s="62"/>
      <c r="G5" s="62"/>
      <c r="H5" s="62"/>
      <c r="I5" s="62"/>
      <c r="J5" s="62"/>
      <c r="K5" s="62"/>
      <c r="L5" s="62"/>
      <c r="M5" s="62"/>
      <c r="N5" s="62"/>
      <c r="O5" s="65"/>
    </row>
    <row r="6" spans="2:21" x14ac:dyDescent="0.3">
      <c r="B6" s="61"/>
      <c r="C6" s="62"/>
      <c r="D6" s="69"/>
      <c r="E6" s="69"/>
      <c r="F6" s="69"/>
      <c r="G6" s="69"/>
      <c r="H6" s="62"/>
      <c r="I6" s="62"/>
      <c r="J6" s="62"/>
      <c r="K6" s="62"/>
      <c r="L6" s="62"/>
      <c r="M6" s="62"/>
      <c r="N6" s="62"/>
      <c r="O6" s="65"/>
    </row>
    <row r="7" spans="2:21" x14ac:dyDescent="0.3">
      <c r="B7" s="61"/>
      <c r="C7" s="62"/>
      <c r="D7" s="69"/>
      <c r="E7" s="69"/>
      <c r="F7" s="69"/>
      <c r="G7" s="69"/>
      <c r="H7" s="62"/>
      <c r="I7" s="62"/>
      <c r="J7" s="62"/>
      <c r="K7" s="62"/>
      <c r="L7" s="62"/>
      <c r="M7" s="62"/>
      <c r="N7" s="62"/>
      <c r="O7" s="65"/>
    </row>
    <row r="8" spans="2:21" s="136" customFormat="1" x14ac:dyDescent="0.3">
      <c r="B8" s="134"/>
      <c r="C8" s="130"/>
      <c r="D8" s="870" t="s">
        <v>180</v>
      </c>
      <c r="E8" s="870"/>
      <c r="F8" s="870"/>
      <c r="G8" s="870"/>
      <c r="H8" s="871" t="str">
        <f>tab!B2</f>
        <v>2020/21</v>
      </c>
      <c r="I8" s="871" t="str">
        <f>tab!C2</f>
        <v>2021/22</v>
      </c>
      <c r="J8" s="871" t="str">
        <f>tab!D2</f>
        <v>2022/23</v>
      </c>
      <c r="K8" s="871" t="str">
        <f>tab!E2</f>
        <v>2023/24</v>
      </c>
      <c r="L8" s="871" t="str">
        <f>tab!F2</f>
        <v>2024/25</v>
      </c>
      <c r="M8" s="871" t="str">
        <f>tab!G2</f>
        <v>2025/26</v>
      </c>
      <c r="N8" s="871" t="str">
        <f>tab!H2</f>
        <v>2026/27</v>
      </c>
      <c r="O8" s="135"/>
    </row>
    <row r="9" spans="2:21" s="136" customFormat="1" x14ac:dyDescent="0.3">
      <c r="B9" s="134"/>
      <c r="C9" s="130"/>
      <c r="D9" s="870" t="s">
        <v>102</v>
      </c>
      <c r="E9" s="870"/>
      <c r="F9" s="870"/>
      <c r="G9" s="870"/>
      <c r="H9" s="871">
        <v>2019</v>
      </c>
      <c r="I9" s="871">
        <f>tab!B4</f>
        <v>2020</v>
      </c>
      <c r="J9" s="871">
        <f>tab!C4</f>
        <v>2021</v>
      </c>
      <c r="K9" s="871">
        <f>tab!D4</f>
        <v>2022</v>
      </c>
      <c r="L9" s="871">
        <f>tab!E4</f>
        <v>2023</v>
      </c>
      <c r="M9" s="871">
        <f>tab!F4</f>
        <v>2024</v>
      </c>
      <c r="N9" s="871">
        <f>tab!G4</f>
        <v>2025</v>
      </c>
      <c r="O9" s="135"/>
      <c r="P9" s="129"/>
      <c r="Q9" s="129"/>
      <c r="R9" s="129"/>
      <c r="S9" s="129"/>
      <c r="T9" s="129"/>
      <c r="U9" s="129"/>
    </row>
    <row r="10" spans="2:21" s="136" customFormat="1" x14ac:dyDescent="0.3">
      <c r="B10" s="134"/>
      <c r="C10" s="130"/>
      <c r="D10" s="870" t="s">
        <v>473</v>
      </c>
      <c r="E10" s="870"/>
      <c r="F10" s="870"/>
      <c r="G10" s="870"/>
      <c r="H10" s="871">
        <f t="shared" ref="H10" si="0">H9+1</f>
        <v>2020</v>
      </c>
      <c r="I10" s="871">
        <f t="shared" ref="I10:M10" si="1">I9+1</f>
        <v>2021</v>
      </c>
      <c r="J10" s="871">
        <f t="shared" si="1"/>
        <v>2022</v>
      </c>
      <c r="K10" s="871">
        <f t="shared" si="1"/>
        <v>2023</v>
      </c>
      <c r="L10" s="871">
        <f t="shared" si="1"/>
        <v>2024</v>
      </c>
      <c r="M10" s="871">
        <f t="shared" si="1"/>
        <v>2025</v>
      </c>
      <c r="N10" s="871">
        <f t="shared" ref="N10" si="2">N9+1</f>
        <v>2026</v>
      </c>
      <c r="O10" s="135"/>
      <c r="P10" s="129"/>
      <c r="Q10" s="129"/>
      <c r="R10" s="129"/>
      <c r="S10" s="129"/>
      <c r="T10" s="129"/>
      <c r="U10" s="129"/>
    </row>
    <row r="11" spans="2:21" x14ac:dyDescent="0.3">
      <c r="B11" s="61"/>
      <c r="C11" s="62"/>
      <c r="D11" s="74"/>
      <c r="E11" s="74"/>
      <c r="F11" s="74"/>
      <c r="G11" s="74"/>
      <c r="H11" s="75"/>
      <c r="I11" s="75"/>
      <c r="J11" s="75"/>
      <c r="K11" s="75"/>
      <c r="L11" s="75"/>
      <c r="M11" s="75"/>
      <c r="N11" s="75"/>
      <c r="O11" s="65"/>
    </row>
    <row r="12" spans="2:21" x14ac:dyDescent="0.3">
      <c r="B12" s="61"/>
      <c r="C12" s="163"/>
      <c r="D12" s="108"/>
      <c r="E12" s="108"/>
      <c r="F12" s="108"/>
      <c r="G12" s="108"/>
      <c r="H12" s="108"/>
      <c r="I12" s="108"/>
      <c r="J12" s="108"/>
      <c r="K12" s="108"/>
      <c r="L12" s="108"/>
      <c r="M12" s="108"/>
      <c r="N12" s="108"/>
      <c r="O12" s="65"/>
    </row>
    <row r="13" spans="2:21" s="136" customFormat="1" x14ac:dyDescent="0.3">
      <c r="B13" s="134"/>
      <c r="C13" s="125"/>
      <c r="D13" s="872" t="s">
        <v>126</v>
      </c>
      <c r="E13" s="873"/>
      <c r="F13" s="881" t="s">
        <v>369</v>
      </c>
      <c r="G13" s="126"/>
      <c r="H13" s="126"/>
      <c r="I13" s="126"/>
      <c r="J13" s="126"/>
      <c r="K13" s="126"/>
      <c r="L13" s="126"/>
      <c r="M13" s="126"/>
      <c r="N13" s="126"/>
      <c r="O13" s="135"/>
    </row>
    <row r="14" spans="2:21" x14ac:dyDescent="0.3">
      <c r="B14" s="61"/>
      <c r="C14" s="114"/>
      <c r="D14" s="112"/>
      <c r="E14" s="112"/>
      <c r="F14" s="112"/>
      <c r="G14" s="112"/>
      <c r="H14" s="112"/>
      <c r="I14" s="112"/>
      <c r="J14" s="112"/>
      <c r="K14" s="112"/>
      <c r="L14" s="112"/>
      <c r="M14" s="112"/>
      <c r="N14" s="112"/>
      <c r="O14" s="65"/>
    </row>
    <row r="15" spans="2:21" x14ac:dyDescent="0.3">
      <c r="B15" s="61"/>
      <c r="C15" s="114"/>
      <c r="D15" s="484" t="s">
        <v>50</v>
      </c>
      <c r="E15" s="112"/>
      <c r="F15" s="112"/>
      <c r="G15" s="113"/>
      <c r="H15" s="199">
        <v>44.67</v>
      </c>
      <c r="I15" s="1250">
        <v>47.47</v>
      </c>
      <c r="J15" s="1250">
        <f>ROUND(IF((SUM(op!AM84:AM138)/((SUM(op!J84:J138))))&lt;30,30,(SUM(op!AM84:AM138)/((SUM(op!J84:J138))))),2)</f>
        <v>43</v>
      </c>
      <c r="K15" s="1250">
        <f>ROUND(IF((SUM(op!AM152:AM206)/((SUM(op!J152:J206))))&lt;30,30,(SUM(op!AM152:AM206)/((SUM(SUM(op!J152:J206)))))),2)</f>
        <v>44</v>
      </c>
      <c r="L15" s="1250">
        <f>ROUND(IF((SUM(op!AM219:AM273)/((SUM(op!J219:J273))))&lt;30,30,(SUM(op!AM219:AM273)/((SUM(op!J219:J273))))),2)</f>
        <v>45</v>
      </c>
      <c r="M15" s="1254">
        <f>ROUND(IF((SUM(op!AM286:AM340)/((SUM(op!J286:J340))))&lt;30,30,(SUM(op!AM286:AM340)/((SUM(op!J286:J340))))),2)</f>
        <v>46</v>
      </c>
      <c r="N15" s="1254">
        <f>M15</f>
        <v>46</v>
      </c>
      <c r="O15" s="1240"/>
    </row>
    <row r="16" spans="2:21" x14ac:dyDescent="0.3">
      <c r="B16" s="61"/>
      <c r="C16" s="114"/>
      <c r="D16" s="484" t="s">
        <v>472</v>
      </c>
      <c r="E16" s="112"/>
      <c r="F16" s="112"/>
      <c r="G16" s="113"/>
      <c r="H16" s="832" t="s">
        <v>396</v>
      </c>
      <c r="I16" s="832" t="str">
        <f>H16</f>
        <v>ja</v>
      </c>
      <c r="J16" s="832" t="str">
        <f>I16</f>
        <v>ja</v>
      </c>
      <c r="K16" s="832" t="str">
        <f>J16</f>
        <v>ja</v>
      </c>
      <c r="L16" s="832" t="str">
        <f>K16</f>
        <v>ja</v>
      </c>
      <c r="M16" s="832" t="str">
        <f>L16</f>
        <v>ja</v>
      </c>
      <c r="N16" s="832" t="str">
        <f>M16</f>
        <v>ja</v>
      </c>
      <c r="O16" s="65"/>
    </row>
    <row r="17" spans="2:18" s="136" customFormat="1" x14ac:dyDescent="0.3">
      <c r="B17" s="134"/>
      <c r="C17" s="125"/>
      <c r="D17" s="123"/>
      <c r="E17" s="133"/>
      <c r="F17" s="133"/>
      <c r="G17" s="133"/>
      <c r="H17" s="830"/>
      <c r="I17" s="830"/>
      <c r="J17" s="830"/>
      <c r="K17" s="830"/>
      <c r="L17" s="831"/>
      <c r="M17" s="831"/>
      <c r="N17" s="831"/>
      <c r="O17" s="135"/>
    </row>
    <row r="18" spans="2:18" s="136" customFormat="1" x14ac:dyDescent="0.3">
      <c r="B18" s="134"/>
      <c r="C18" s="125"/>
      <c r="D18" s="482" t="s">
        <v>458</v>
      </c>
      <c r="E18" s="133"/>
      <c r="F18" s="133"/>
      <c r="G18" s="133"/>
      <c r="H18" s="830"/>
      <c r="I18" s="830"/>
      <c r="J18" s="830"/>
      <c r="K18" s="830"/>
      <c r="L18" s="831"/>
      <c r="M18" s="831"/>
      <c r="N18" s="831"/>
      <c r="O18" s="135"/>
    </row>
    <row r="19" spans="2:18" x14ac:dyDescent="0.3">
      <c r="B19" s="61"/>
      <c r="C19" s="114"/>
      <c r="D19" s="123" t="s">
        <v>453</v>
      </c>
      <c r="E19" s="112"/>
      <c r="F19" s="863">
        <v>0</v>
      </c>
      <c r="G19" s="112"/>
      <c r="H19" s="844">
        <f>geg!F25*(tab!$B$22+ROUND((tab!$B$23*pers!H15),2))</f>
        <v>586878.6</v>
      </c>
      <c r="I19" s="844">
        <f>geg!G25*(tab!$C$22+ROUND((tab!$C$23*pers!I15),2))</f>
        <v>526526.88</v>
      </c>
      <c r="J19" s="844">
        <f>geg!H25*(tab!$C$22+ROUND((tab!$C$23*pers!J15),2))</f>
        <v>440068.59</v>
      </c>
      <c r="K19" s="844">
        <f>geg!I25*(tab!$C$22+ROUND((tab!$C$23*pers!K15),2))</f>
        <v>446025.06000000006</v>
      </c>
      <c r="L19" s="844">
        <f>geg!J25*(tab!$C$22+ROUND((tab!$C$23*pers!L15),2))</f>
        <v>451981.53</v>
      </c>
      <c r="M19" s="844">
        <f>geg!K25*(tab!$C$22+ROUND((tab!$C$23*pers!M15),2))</f>
        <v>457938</v>
      </c>
      <c r="N19" s="844">
        <f>geg!L25*(tab!$C$22+ROUND((tab!$C$23*pers!N15),2))</f>
        <v>457938</v>
      </c>
      <c r="O19" s="65"/>
    </row>
    <row r="20" spans="2:18" x14ac:dyDescent="0.3">
      <c r="B20" s="61"/>
      <c r="C20" s="114"/>
      <c r="D20" s="825" t="s">
        <v>454</v>
      </c>
      <c r="E20" s="112"/>
      <c r="F20" s="863">
        <v>0</v>
      </c>
      <c r="G20" s="112"/>
      <c r="H20" s="844">
        <f>geg!F27*(tab!$B$24+ROUND((tab!$B$25*pers!H15),2))</f>
        <v>438043.022864</v>
      </c>
      <c r="I20" s="844">
        <f>geg!G27*(tab!$C$24+ROUND((tab!$C$25*pers!I15),2))</f>
        <v>427807.61927600001</v>
      </c>
      <c r="J20" s="844">
        <f>geg!H27*(tab!$C$24+ROUND((tab!$C$25*pers!J15),2))</f>
        <v>403402.31789759995</v>
      </c>
      <c r="K20" s="844">
        <f>geg!I27*(tab!$C$24+ROUND((tab!$C$25*pers!K15),2))</f>
        <v>408862.15883759997</v>
      </c>
      <c r="L20" s="844">
        <f>geg!J27*(tab!$C$24+ROUND((tab!$C$25*pers!L15),2))</f>
        <v>414321.99977759994</v>
      </c>
      <c r="M20" s="844">
        <f>geg!K27*(tab!$C$24+ROUND((tab!$C$25*pers!M15),2))</f>
        <v>419781.84071759996</v>
      </c>
      <c r="N20" s="844">
        <f>geg!L27*(tab!$C$24+ROUND((tab!$C$25*pers!N15),2))</f>
        <v>419781.84071759996</v>
      </c>
      <c r="O20" s="65"/>
      <c r="R20" s="1204"/>
    </row>
    <row r="21" spans="2:18" s="173" customFormat="1" x14ac:dyDescent="0.3">
      <c r="B21" s="184"/>
      <c r="C21" s="205"/>
      <c r="D21" s="123" t="s">
        <v>455</v>
      </c>
      <c r="E21" s="111"/>
      <c r="F21" s="863">
        <v>0</v>
      </c>
      <c r="G21" s="111"/>
      <c r="H21" s="844">
        <f>IF((geg!F26-4)&lt;0,0,(geg!F26-4)*(tab!$B$26+ROUND((tab!$B$27*pers!H15),2)))</f>
        <v>67619.400000000009</v>
      </c>
      <c r="I21" s="844">
        <f>IF((geg!G26-4)&lt;0,0,(geg!G26-4)*(tab!$C$26+ROUND((tab!$C$27*pers!I15),2)))</f>
        <v>63693</v>
      </c>
      <c r="J21" s="844">
        <f>IF((geg!H26-4)&lt;0,0,(geg!H26-4)*(tab!$C$26+ROUND((tab!$C$27*pers!J15),2)))</f>
        <v>40039.56</v>
      </c>
      <c r="K21" s="844">
        <f>IF((geg!I26-4)&lt;0,0,(geg!I26-4)*(tab!$C$26+ROUND((tab!$C$27*pers!K15),2)))</f>
        <v>40581.479999999996</v>
      </c>
      <c r="L21" s="844">
        <f>IF((geg!J26-4)&lt;0,0,(geg!J26-4)*(tab!$C$26+ROUND((tab!$C$27*pers!L15),2)))</f>
        <v>41123.399999999994</v>
      </c>
      <c r="M21" s="844">
        <f>IF((geg!K26-4)&lt;0,0,(geg!K26-4)*(tab!$C$26+ROUND((tab!$C$27*pers!M15),2)))</f>
        <v>41665.32</v>
      </c>
      <c r="N21" s="844">
        <f>IF((geg!L26-4)&lt;0,0,(geg!L26-4)*(tab!$C$26+ROUND((tab!$C$27*pers!N15),2)))</f>
        <v>41665.32</v>
      </c>
      <c r="O21" s="185"/>
      <c r="Q21" s="455"/>
    </row>
    <row r="22" spans="2:18" s="173" customFormat="1" x14ac:dyDescent="0.3">
      <c r="B22" s="184"/>
      <c r="C22" s="205"/>
      <c r="D22" s="472" t="s">
        <v>78</v>
      </c>
      <c r="E22" s="206"/>
      <c r="F22" s="863">
        <v>0</v>
      </c>
      <c r="G22" s="206"/>
      <c r="H22" s="844">
        <f>IF(geg!F25&lt;=tab!$B$28,tab!$B$19,IF(geg!F25&gt;tab!$B$28,tab!$B$20))</f>
        <v>36466.86</v>
      </c>
      <c r="I22" s="844">
        <f>IF(geg!G25&lt;=tab!$C$28,tab!$C$19,IF(geg!G25&gt;tab!$C$28,tab!$C$20))</f>
        <v>36732.22</v>
      </c>
      <c r="J22" s="844">
        <f>IF(geg!H25&lt;=tab!$C$28,tab!$C$19,IF(geg!H25&gt;tab!$C$28,tab!$C$20))</f>
        <v>36732.22</v>
      </c>
      <c r="K22" s="844">
        <f>IF(geg!I25&lt;=tab!$C$28,tab!$C$19,IF(geg!I25&gt;tab!$C$28,tab!$C$20))</f>
        <v>36732.22</v>
      </c>
      <c r="L22" s="844">
        <f>IF(geg!J25&lt;=tab!$C$28,tab!$C$19,IF(geg!J25&gt;tab!$C$28,tab!$C$20))</f>
        <v>36732.22</v>
      </c>
      <c r="M22" s="844">
        <f>IF(geg!K25&lt;=tab!$C$28,tab!$C$19,IF(geg!K25&gt;tab!$C$28,tab!$C$20))</f>
        <v>36732.22</v>
      </c>
      <c r="N22" s="844">
        <f>IF(geg!L25&lt;=tab!$C$28,tab!$C$19,IF(geg!L25&gt;tab!$C$28,tab!$C$20))</f>
        <v>36732.22</v>
      </c>
      <c r="O22" s="185"/>
      <c r="Q22" s="455"/>
    </row>
    <row r="23" spans="2:18" s="173" customFormat="1" x14ac:dyDescent="0.3">
      <c r="B23" s="184"/>
      <c r="C23" s="205"/>
      <c r="D23" s="207"/>
      <c r="E23" s="206"/>
      <c r="F23" s="864"/>
      <c r="G23" s="206"/>
      <c r="H23" s="896">
        <f t="shared" ref="H23:I23" si="3">SUM(H19:H22)</f>
        <v>1129007.882864</v>
      </c>
      <c r="I23" s="896">
        <f t="shared" si="3"/>
        <v>1054759.719276</v>
      </c>
      <c r="J23" s="896">
        <f t="shared" ref="J23:M23" si="4">SUM(J19:J22)</f>
        <v>920242.6878976</v>
      </c>
      <c r="K23" s="896">
        <f t="shared" si="4"/>
        <v>932200.91883759992</v>
      </c>
      <c r="L23" s="896">
        <f t="shared" si="4"/>
        <v>944159.14977759996</v>
      </c>
      <c r="M23" s="896">
        <f t="shared" si="4"/>
        <v>956117.38071759988</v>
      </c>
      <c r="N23" s="896">
        <f t="shared" ref="N23" si="5">SUM(N19:N22)</f>
        <v>956117.38071759988</v>
      </c>
      <c r="O23" s="185"/>
      <c r="Q23" s="455"/>
    </row>
    <row r="24" spans="2:18" s="173" customFormat="1" x14ac:dyDescent="0.3">
      <c r="B24" s="184"/>
      <c r="C24" s="209"/>
      <c r="D24" s="525" t="s">
        <v>312</v>
      </c>
      <c r="E24" s="210"/>
      <c r="F24" s="865"/>
      <c r="G24" s="210"/>
      <c r="H24" s="207"/>
      <c r="I24" s="207"/>
      <c r="J24" s="207"/>
      <c r="K24" s="207"/>
      <c r="L24" s="207"/>
      <c r="M24" s="207"/>
      <c r="N24" s="207"/>
      <c r="O24" s="185"/>
      <c r="Q24" s="455"/>
    </row>
    <row r="25" spans="2:18" s="173" customFormat="1" x14ac:dyDescent="0.3">
      <c r="B25" s="184"/>
      <c r="C25" s="209"/>
      <c r="D25" s="472" t="s">
        <v>132</v>
      </c>
      <c r="E25" s="210"/>
      <c r="F25" s="863">
        <v>0</v>
      </c>
      <c r="G25" s="210"/>
      <c r="H25" s="844">
        <f>tab!$B$38</f>
        <v>14676.37</v>
      </c>
      <c r="I25" s="844">
        <f>tab!$C$38</f>
        <v>14783.07</v>
      </c>
      <c r="J25" s="844">
        <f>tab!$C$38</f>
        <v>14783.07</v>
      </c>
      <c r="K25" s="844">
        <f>tab!$C$38</f>
        <v>14783.07</v>
      </c>
      <c r="L25" s="844">
        <f>tab!$C$38</f>
        <v>14783.07</v>
      </c>
      <c r="M25" s="844">
        <f>tab!$C$38</f>
        <v>14783.07</v>
      </c>
      <c r="N25" s="844">
        <f>tab!$C$38</f>
        <v>14783.07</v>
      </c>
      <c r="O25" s="185"/>
      <c r="Q25" s="455"/>
    </row>
    <row r="26" spans="2:18" s="173" customFormat="1" x14ac:dyDescent="0.3">
      <c r="B26" s="184"/>
      <c r="C26" s="114"/>
      <c r="D26" s="472" t="s">
        <v>194</v>
      </c>
      <c r="E26" s="115"/>
      <c r="F26" s="863">
        <v>0</v>
      </c>
      <c r="G26" s="115"/>
      <c r="H26" s="897">
        <f>geg!F25*tab!$B$39</f>
        <v>184063.88</v>
      </c>
      <c r="I26" s="897">
        <f>geg!G25*tab!$C$39</f>
        <v>173910</v>
      </c>
      <c r="J26" s="897">
        <f>geg!H25*tab!$C$39</f>
        <v>154147.5</v>
      </c>
      <c r="K26" s="897">
        <f>geg!I25*tab!$C$39</f>
        <v>154147.5</v>
      </c>
      <c r="L26" s="897">
        <f>geg!J25*tab!$C$39</f>
        <v>154147.5</v>
      </c>
      <c r="M26" s="897">
        <f>geg!K25*tab!$C$39</f>
        <v>154147.5</v>
      </c>
      <c r="N26" s="897">
        <f>geg!L25*tab!$C$39</f>
        <v>154147.5</v>
      </c>
      <c r="O26" s="185"/>
      <c r="Q26" s="455"/>
    </row>
    <row r="27" spans="2:18" s="173" customFormat="1" x14ac:dyDescent="0.3">
      <c r="B27" s="184"/>
      <c r="C27" s="114"/>
      <c r="D27" s="472" t="s">
        <v>443</v>
      </c>
      <c r="E27" s="211"/>
      <c r="F27" s="863">
        <v>0</v>
      </c>
      <c r="G27" s="211"/>
      <c r="H27" s="897">
        <f>geg!F26*tab!$B$40</f>
        <v>4935.3599999999997</v>
      </c>
      <c r="I27" s="897">
        <f>geg!G26*tab!$C$40</f>
        <v>4557.08</v>
      </c>
      <c r="J27" s="897">
        <f>geg!H26*tab!$C$40</f>
        <v>3314.24</v>
      </c>
      <c r="K27" s="897">
        <f>geg!I26*tab!$C$40</f>
        <v>3314.24</v>
      </c>
      <c r="L27" s="897">
        <f>geg!J26*tab!$C$40</f>
        <v>3314.24</v>
      </c>
      <c r="M27" s="897">
        <f>geg!K26*tab!$C$40</f>
        <v>3314.24</v>
      </c>
      <c r="N27" s="897">
        <f>geg!L26*tab!$C$40</f>
        <v>3314.24</v>
      </c>
      <c r="O27" s="185"/>
      <c r="Q27" s="455"/>
    </row>
    <row r="28" spans="2:18" s="173" customFormat="1" x14ac:dyDescent="0.3">
      <c r="B28" s="184"/>
      <c r="C28" s="110"/>
      <c r="D28" s="207"/>
      <c r="E28" s="212"/>
      <c r="F28" s="866"/>
      <c r="G28" s="212"/>
      <c r="H28" s="899">
        <f t="shared" ref="H28:I28" si="6">SUM(H25:H27)</f>
        <v>203675.61</v>
      </c>
      <c r="I28" s="899">
        <f t="shared" si="6"/>
        <v>193250.15</v>
      </c>
      <c r="J28" s="899">
        <f t="shared" ref="J28:M28" si="7">SUM(J25:J27)</f>
        <v>172244.81</v>
      </c>
      <c r="K28" s="899">
        <f t="shared" si="7"/>
        <v>172244.81</v>
      </c>
      <c r="L28" s="899">
        <f t="shared" si="7"/>
        <v>172244.81</v>
      </c>
      <c r="M28" s="899">
        <f t="shared" si="7"/>
        <v>172244.81</v>
      </c>
      <c r="N28" s="899">
        <f t="shared" ref="N28" si="8">SUM(N25:N27)</f>
        <v>172244.81</v>
      </c>
      <c r="O28" s="185"/>
      <c r="Q28" s="455"/>
    </row>
    <row r="29" spans="2:18" s="181" customFormat="1" x14ac:dyDescent="0.3">
      <c r="B29" s="186"/>
      <c r="C29" s="213"/>
      <c r="D29" s="1172" t="s">
        <v>546</v>
      </c>
      <c r="E29" s="215"/>
      <c r="F29" s="867"/>
      <c r="G29" s="215"/>
      <c r="H29" s="215"/>
      <c r="I29" s="215"/>
      <c r="J29" s="215"/>
      <c r="K29" s="215"/>
      <c r="L29" s="215"/>
      <c r="M29" s="215"/>
      <c r="N29" s="215"/>
      <c r="O29" s="187"/>
      <c r="Q29" s="136"/>
    </row>
    <row r="30" spans="2:18" s="173" customFormat="1" x14ac:dyDescent="0.3">
      <c r="B30" s="184"/>
      <c r="C30" s="205"/>
      <c r="D30" s="797" t="s">
        <v>435</v>
      </c>
      <c r="E30" s="206"/>
      <c r="F30" s="791">
        <v>0</v>
      </c>
      <c r="G30" s="206"/>
      <c r="H30" s="844">
        <f>tab!$B46*geg!F25</f>
        <v>32989.879999999997</v>
      </c>
      <c r="I30" s="844">
        <f>tab!$C$46*geg!G25</f>
        <v>0</v>
      </c>
      <c r="J30" s="844">
        <f>tab!$C$46*geg!H25</f>
        <v>0</v>
      </c>
      <c r="K30" s="844">
        <f>tab!$C$46*geg!I25</f>
        <v>0</v>
      </c>
      <c r="L30" s="844">
        <f>tab!$C$46*geg!J25</f>
        <v>0</v>
      </c>
      <c r="M30" s="844">
        <f>tab!$C$46*geg!K25</f>
        <v>0</v>
      </c>
      <c r="N30" s="844">
        <f>tab!$C$46*geg!L25</f>
        <v>0</v>
      </c>
      <c r="O30" s="185"/>
      <c r="Q30" s="455"/>
    </row>
    <row r="31" spans="2:18" s="173" customFormat="1" x14ac:dyDescent="0.3">
      <c r="B31" s="184"/>
      <c r="C31" s="205"/>
      <c r="D31" s="440" t="s">
        <v>621</v>
      </c>
      <c r="E31" s="123"/>
      <c r="F31" s="791">
        <v>0</v>
      </c>
      <c r="G31" s="123"/>
      <c r="H31" s="844">
        <f>tab!$B47*geg!F25</f>
        <v>0</v>
      </c>
      <c r="I31" s="201">
        <f>tab!$C$47*geg!G25</f>
        <v>12434.4</v>
      </c>
      <c r="J31" s="201">
        <f>tab!$C$47*geg!H25</f>
        <v>11021.4</v>
      </c>
      <c r="K31" s="201">
        <f>tab!$C$47*geg!I25</f>
        <v>11021.4</v>
      </c>
      <c r="L31" s="201">
        <f>tab!$C$47*geg!J25</f>
        <v>11021.4</v>
      </c>
      <c r="M31" s="201">
        <f>tab!$C$47*geg!K25</f>
        <v>11021.4</v>
      </c>
      <c r="N31" s="201">
        <f>tab!$C$47*geg!L25</f>
        <v>11021.4</v>
      </c>
      <c r="O31" s="185"/>
      <c r="Q31" s="455"/>
    </row>
    <row r="32" spans="2:18" s="173" customFormat="1" x14ac:dyDescent="0.3">
      <c r="B32" s="184"/>
      <c r="C32" s="205"/>
      <c r="D32" s="388"/>
      <c r="E32" s="206"/>
      <c r="F32" s="791">
        <v>0</v>
      </c>
      <c r="G32" s="206"/>
      <c r="H32" s="201">
        <v>0</v>
      </c>
      <c r="I32" s="1292">
        <v>0</v>
      </c>
      <c r="J32" s="201">
        <v>0</v>
      </c>
      <c r="K32" s="201">
        <f t="shared" ref="K32:K33" si="9">J32</f>
        <v>0</v>
      </c>
      <c r="L32" s="201">
        <f t="shared" ref="L32:L33" si="10">K32</f>
        <v>0</v>
      </c>
      <c r="M32" s="201">
        <f t="shared" ref="M32:N33" si="11">L32</f>
        <v>0</v>
      </c>
      <c r="N32" s="201">
        <f t="shared" si="11"/>
        <v>0</v>
      </c>
      <c r="O32" s="185"/>
      <c r="Q32" s="455"/>
    </row>
    <row r="33" spans="2:29" s="173" customFormat="1" x14ac:dyDescent="0.3">
      <c r="B33" s="184"/>
      <c r="C33" s="205"/>
      <c r="D33" s="388"/>
      <c r="E33" s="206"/>
      <c r="F33" s="791">
        <v>0</v>
      </c>
      <c r="G33" s="206"/>
      <c r="H33" s="201">
        <v>0</v>
      </c>
      <c r="I33" s="201">
        <f t="shared" ref="I33" si="12">H33</f>
        <v>0</v>
      </c>
      <c r="J33" s="201">
        <f t="shared" ref="J33" si="13">I33</f>
        <v>0</v>
      </c>
      <c r="K33" s="201">
        <f t="shared" si="9"/>
        <v>0</v>
      </c>
      <c r="L33" s="201">
        <f t="shared" si="10"/>
        <v>0</v>
      </c>
      <c r="M33" s="201">
        <f t="shared" si="11"/>
        <v>0</v>
      </c>
      <c r="N33" s="201">
        <f t="shared" si="11"/>
        <v>0</v>
      </c>
      <c r="O33" s="185"/>
      <c r="Q33" s="455"/>
    </row>
    <row r="34" spans="2:29" s="173" customFormat="1" x14ac:dyDescent="0.3">
      <c r="B34" s="184"/>
      <c r="C34" s="205"/>
      <c r="D34" s="472"/>
      <c r="E34" s="206"/>
      <c r="F34" s="206"/>
      <c r="G34" s="206"/>
      <c r="H34" s="896">
        <f t="shared" ref="H34:I34" si="14">SUM(H30:H33)</f>
        <v>32989.879999999997</v>
      </c>
      <c r="I34" s="896">
        <f t="shared" si="14"/>
        <v>12434.4</v>
      </c>
      <c r="J34" s="896">
        <f t="shared" ref="J34:M34" si="15">SUM(J30:J33)</f>
        <v>11021.4</v>
      </c>
      <c r="K34" s="896">
        <f t="shared" si="15"/>
        <v>11021.4</v>
      </c>
      <c r="L34" s="896">
        <f t="shared" si="15"/>
        <v>11021.4</v>
      </c>
      <c r="M34" s="896">
        <f t="shared" si="15"/>
        <v>11021.4</v>
      </c>
      <c r="N34" s="896">
        <f t="shared" ref="N34" si="16">SUM(N30:N33)</f>
        <v>11021.4</v>
      </c>
      <c r="O34" s="185"/>
      <c r="Q34" s="455"/>
    </row>
    <row r="35" spans="2:29" s="173" customFormat="1" x14ac:dyDescent="0.3">
      <c r="B35" s="184"/>
      <c r="C35" s="205"/>
      <c r="D35" s="1172" t="s">
        <v>555</v>
      </c>
      <c r="E35" s="215"/>
      <c r="F35" s="867"/>
      <c r="G35" s="215"/>
      <c r="H35" s="215"/>
      <c r="I35" s="215"/>
      <c r="J35" s="215"/>
      <c r="K35" s="215"/>
      <c r="L35" s="215"/>
      <c r="M35" s="215"/>
      <c r="N35" s="215"/>
      <c r="O35" s="185"/>
      <c r="Q35" s="455"/>
    </row>
    <row r="36" spans="2:29" s="173" customFormat="1" x14ac:dyDescent="0.3">
      <c r="B36" s="184"/>
      <c r="C36" s="205"/>
      <c r="D36" s="123" t="s">
        <v>456</v>
      </c>
      <c r="E36" s="206"/>
      <c r="F36" s="126"/>
      <c r="G36" s="112"/>
      <c r="H36" s="844">
        <f>IF(geg!F30&lt;=geg!F25,0,(geg!F30-geg!F25)*IF(H16="ja",tab!$B$31,(tab!$B$22+ROUND((tab!$B$23*pers!H15),2))))</f>
        <v>0</v>
      </c>
      <c r="I36" s="844">
        <f>IF(geg!G30&lt;=geg!G25,0,(geg!G30-geg!G25)*IF(I16="ja",tab!$C$31,(tab!$C$22+ROUND((tab!$C$23*pers!I15),2))))</f>
        <v>0</v>
      </c>
      <c r="J36" s="844">
        <f>IF(geg!H30&lt;=geg!H25,0,(geg!H30-geg!H25)*IF(J16="ja",tab!$C$31,(tab!$C$22+ROUND((tab!$C$23*pers!J15),2))))</f>
        <v>54690.450000000004</v>
      </c>
      <c r="K36" s="844">
        <f>IF(geg!I30&lt;=geg!I25,0,(geg!I30-geg!I25)*IF(K16="ja",tab!$C$31,(tab!$C$22+ROUND((tab!$C$23*pers!K15),2))))</f>
        <v>54690.450000000004</v>
      </c>
      <c r="L36" s="844">
        <f>IF(geg!J30&lt;=geg!J25,0,(geg!J30-geg!J25)*IF(L16="ja",tab!$C$31,(tab!$C$22+ROUND((tab!$C$23*pers!L15),2))))</f>
        <v>54690.450000000004</v>
      </c>
      <c r="M36" s="844">
        <f>IF(geg!K30&lt;=geg!K25,0,(geg!K30-geg!K25)*IF(M16="ja",tab!$C$31,(tab!$C$22+ROUND((tab!$C$23*pers!M15),2))))</f>
        <v>54690.450000000004</v>
      </c>
      <c r="N36" s="844">
        <f>IF(geg!L30&lt;=geg!L25,0,(geg!L30-geg!L25)*IF(N16="ja",tab!$C$31,(tab!$C$22+ROUND((tab!$C$23*pers!N15),2))))</f>
        <v>54690.450000000004</v>
      </c>
      <c r="O36" s="185"/>
      <c r="Q36" s="455"/>
    </row>
    <row r="37" spans="2:29" s="173" customFormat="1" x14ac:dyDescent="0.3">
      <c r="B37" s="184"/>
      <c r="C37" s="205"/>
      <c r="D37" s="123" t="s">
        <v>457</v>
      </c>
      <c r="E37" s="112"/>
      <c r="F37" s="126"/>
      <c r="G37" s="112"/>
      <c r="H37" s="844">
        <f>IF(geg!F30=0,0,(geg!F30-geg!F27)*IF(H16="ja",tab!$B$32,(tab!$B$24+ROUND((tab!$B$25*pers!H15),2))))</f>
        <v>380625.34056800004</v>
      </c>
      <c r="I37" s="844">
        <f>IF(geg!G30=0,0,(geg!G30-geg!G27)*IF(I16="ja",tab!$C$32,(tab!$C$24+ROUND((tab!$C$25*pers!I15),2))))</f>
        <v>296764.65948240005</v>
      </c>
      <c r="J37" s="844">
        <f>IF(geg!H30=0,0,(geg!H30-geg!H27)*IF(J16="ja",tab!$C$32,(tab!$C$24+ROUND((tab!$C$25*pers!J15),2))))</f>
        <v>296764.65948240005</v>
      </c>
      <c r="K37" s="844">
        <f>IF(geg!I30=0,0,(geg!I30-geg!I27)*IF(K16="ja",tab!$C$32,(tab!$C$24+ROUND((tab!$C$25*pers!K15),2))))</f>
        <v>296764.65948240005</v>
      </c>
      <c r="L37" s="844">
        <f>IF(geg!J30=0,0,(geg!J30-geg!J27)*IF(L16="ja",tab!$C$32,(tab!$C$24+ROUND((tab!$C$25*pers!L15),2))))</f>
        <v>296764.65948240005</v>
      </c>
      <c r="M37" s="844">
        <f>IF(geg!K30=0,0,(geg!K30-geg!K27)*IF(M16="ja",tab!$C$32,(tab!$C$24+ROUND((tab!$C$25*pers!M15),2))))</f>
        <v>296764.65948240005</v>
      </c>
      <c r="N37" s="844">
        <f>IF(geg!L30=0,0,(geg!L30-geg!L27)*IF(N16="ja",tab!$C$32,(tab!$C$24+ROUND((tab!$C$25*pers!N15),2))))</f>
        <v>296764.65948240005</v>
      </c>
      <c r="O37" s="185"/>
      <c r="Q37" s="455"/>
    </row>
    <row r="38" spans="2:29" s="173" customFormat="1" x14ac:dyDescent="0.3">
      <c r="B38" s="184"/>
      <c r="C38" s="205"/>
      <c r="D38" s="472" t="s">
        <v>321</v>
      </c>
      <c r="E38" s="112"/>
      <c r="F38" s="126"/>
      <c r="G38" s="115"/>
      <c r="H38" s="844">
        <f>geg!F31*ROUND(((tab!$B$9+tab!$B$10)*tab!$B$15),2)</f>
        <v>8793.01</v>
      </c>
      <c r="I38" s="844">
        <f>geg!G31*ROUND(((tab!$C$9+tab!$C$10)*tab!$C$15),2)</f>
        <v>8856.94</v>
      </c>
      <c r="J38" s="844">
        <f>geg!H31*ROUND(((tab!$C$9+tab!$C$10)*tab!$C$15),2)</f>
        <v>8856.94</v>
      </c>
      <c r="K38" s="844">
        <f>geg!I31*ROUND(((tab!$C$9+tab!$C$10)*tab!$C$15),2)</f>
        <v>8856.94</v>
      </c>
      <c r="L38" s="844">
        <f>geg!J31*ROUND(((tab!$C$9+tab!$C$10)*tab!$C$15),2)</f>
        <v>8856.94</v>
      </c>
      <c r="M38" s="844">
        <f>geg!K31*ROUND(((tab!$C$9+tab!$C$10)*tab!$C$15),2)</f>
        <v>8856.94</v>
      </c>
      <c r="N38" s="844">
        <f>geg!L31*ROUND(((tab!$C$9+tab!$C$10)*tab!$C$15),2)</f>
        <v>8856.94</v>
      </c>
      <c r="O38" s="185"/>
      <c r="Q38" s="455"/>
    </row>
    <row r="39" spans="2:29" s="173" customFormat="1" x14ac:dyDescent="0.3">
      <c r="B39" s="184"/>
      <c r="C39" s="205"/>
      <c r="D39" s="388"/>
      <c r="E39" s="206"/>
      <c r="F39" s="126"/>
      <c r="G39" s="206"/>
      <c r="H39" s="201">
        <v>0</v>
      </c>
      <c r="I39" s="201">
        <f t="shared" ref="I39:N39" si="17">H39</f>
        <v>0</v>
      </c>
      <c r="J39" s="201">
        <f t="shared" si="17"/>
        <v>0</v>
      </c>
      <c r="K39" s="201">
        <f t="shared" si="17"/>
        <v>0</v>
      </c>
      <c r="L39" s="201">
        <f t="shared" si="17"/>
        <v>0</v>
      </c>
      <c r="M39" s="201">
        <f t="shared" si="17"/>
        <v>0</v>
      </c>
      <c r="N39" s="201">
        <f t="shared" si="17"/>
        <v>0</v>
      </c>
      <c r="O39" s="185"/>
      <c r="Q39" s="455"/>
    </row>
    <row r="40" spans="2:29" s="173" customFormat="1" x14ac:dyDescent="0.3">
      <c r="B40" s="184"/>
      <c r="C40" s="205"/>
      <c r="D40" s="388"/>
      <c r="E40" s="206"/>
      <c r="F40" s="126"/>
      <c r="G40" s="206"/>
      <c r="H40" s="201">
        <v>0</v>
      </c>
      <c r="I40" s="201">
        <f t="shared" ref="I40:N40" si="18">H40</f>
        <v>0</v>
      </c>
      <c r="J40" s="201">
        <f t="shared" si="18"/>
        <v>0</v>
      </c>
      <c r="K40" s="201">
        <f t="shared" si="18"/>
        <v>0</v>
      </c>
      <c r="L40" s="201">
        <f t="shared" si="18"/>
        <v>0</v>
      </c>
      <c r="M40" s="201">
        <f t="shared" si="18"/>
        <v>0</v>
      </c>
      <c r="N40" s="201">
        <f t="shared" si="18"/>
        <v>0</v>
      </c>
      <c r="O40" s="185"/>
      <c r="Q40" s="455"/>
    </row>
    <row r="41" spans="2:29" s="173" customFormat="1" x14ac:dyDescent="0.3">
      <c r="B41" s="184"/>
      <c r="C41" s="205"/>
      <c r="D41" s="388"/>
      <c r="E41" s="206"/>
      <c r="F41" s="126"/>
      <c r="G41" s="206"/>
      <c r="H41" s="201">
        <v>0</v>
      </c>
      <c r="I41" s="201">
        <f t="shared" ref="I41:N41" si="19">H41</f>
        <v>0</v>
      </c>
      <c r="J41" s="201">
        <f t="shared" si="19"/>
        <v>0</v>
      </c>
      <c r="K41" s="201">
        <f t="shared" si="19"/>
        <v>0</v>
      </c>
      <c r="L41" s="201">
        <f t="shared" si="19"/>
        <v>0</v>
      </c>
      <c r="M41" s="201">
        <f t="shared" si="19"/>
        <v>0</v>
      </c>
      <c r="N41" s="201">
        <f t="shared" si="19"/>
        <v>0</v>
      </c>
      <c r="O41" s="185"/>
      <c r="Q41" s="455"/>
    </row>
    <row r="42" spans="2:29" s="173" customFormat="1" x14ac:dyDescent="0.3">
      <c r="B42" s="184"/>
      <c r="C42" s="205"/>
      <c r="D42" s="388"/>
      <c r="E42" s="206"/>
      <c r="F42" s="126"/>
      <c r="G42" s="206"/>
      <c r="H42" s="201">
        <v>0</v>
      </c>
      <c r="I42" s="201">
        <f t="shared" ref="I42:N42" si="20">H42</f>
        <v>0</v>
      </c>
      <c r="J42" s="201">
        <f t="shared" si="20"/>
        <v>0</v>
      </c>
      <c r="K42" s="201">
        <f t="shared" si="20"/>
        <v>0</v>
      </c>
      <c r="L42" s="201">
        <f t="shared" si="20"/>
        <v>0</v>
      </c>
      <c r="M42" s="201">
        <f t="shared" si="20"/>
        <v>0</v>
      </c>
      <c r="N42" s="201">
        <f t="shared" si="20"/>
        <v>0</v>
      </c>
      <c r="O42" s="185"/>
      <c r="Q42" s="455"/>
    </row>
    <row r="43" spans="2:29" s="173" customFormat="1" x14ac:dyDescent="0.3">
      <c r="B43" s="184"/>
      <c r="C43" s="205"/>
      <c r="D43" s="388"/>
      <c r="E43" s="206"/>
      <c r="F43" s="126"/>
      <c r="G43" s="206"/>
      <c r="H43" s="201">
        <v>0</v>
      </c>
      <c r="I43" s="201">
        <f t="shared" ref="I43:N43" si="21">H43</f>
        <v>0</v>
      </c>
      <c r="J43" s="201">
        <f t="shared" si="21"/>
        <v>0</v>
      </c>
      <c r="K43" s="201">
        <f t="shared" si="21"/>
        <v>0</v>
      </c>
      <c r="L43" s="201">
        <f t="shared" si="21"/>
        <v>0</v>
      </c>
      <c r="M43" s="201">
        <f t="shared" si="21"/>
        <v>0</v>
      </c>
      <c r="N43" s="201">
        <f t="shared" si="21"/>
        <v>0</v>
      </c>
      <c r="O43" s="185"/>
      <c r="Q43" s="455"/>
    </row>
    <row r="44" spans="2:29" s="173" customFormat="1" x14ac:dyDescent="0.3">
      <c r="B44" s="184"/>
      <c r="C44" s="205"/>
      <c r="D44" s="472"/>
      <c r="E44" s="115"/>
      <c r="F44" s="868"/>
      <c r="G44" s="206"/>
      <c r="H44" s="896">
        <f t="shared" ref="H44:L44" si="22">SUM(H36:H43)</f>
        <v>389418.35056800005</v>
      </c>
      <c r="I44" s="896">
        <f t="shared" si="22"/>
        <v>305621.59948240005</v>
      </c>
      <c r="J44" s="896">
        <f t="shared" si="22"/>
        <v>360312.04948240006</v>
      </c>
      <c r="K44" s="896">
        <f t="shared" si="22"/>
        <v>360312.04948240006</v>
      </c>
      <c r="L44" s="896">
        <f t="shared" si="22"/>
        <v>360312.04948240006</v>
      </c>
      <c r="M44" s="896">
        <f t="shared" ref="M44:N44" si="23">SUM(M36:M43)</f>
        <v>360312.04948240006</v>
      </c>
      <c r="N44" s="896">
        <f t="shared" si="23"/>
        <v>360312.04948240006</v>
      </c>
      <c r="O44" s="185"/>
      <c r="Q44" s="455"/>
    </row>
    <row r="45" spans="2:29" s="181" customFormat="1" x14ac:dyDescent="0.3">
      <c r="B45" s="186"/>
      <c r="C45" s="213"/>
      <c r="D45" s="487" t="s">
        <v>79</v>
      </c>
      <c r="E45" s="126"/>
      <c r="F45" s="126"/>
      <c r="G45" s="126"/>
      <c r="H45" s="215"/>
      <c r="I45" s="216"/>
      <c r="J45" s="165"/>
      <c r="K45" s="165"/>
      <c r="L45" s="165"/>
      <c r="M45" s="165"/>
      <c r="N45" s="165"/>
      <c r="O45" s="187"/>
      <c r="Q45" s="455"/>
      <c r="R45" s="7"/>
      <c r="S45" s="7"/>
      <c r="T45" s="7"/>
      <c r="U45" s="7"/>
      <c r="V45" s="7"/>
      <c r="W45" s="7"/>
      <c r="X45" s="7"/>
      <c r="Y45" s="7"/>
      <c r="Z45" s="7"/>
      <c r="AA45" s="7"/>
      <c r="AB45" s="7"/>
      <c r="AC45" s="7"/>
    </row>
    <row r="46" spans="2:29" s="181" customFormat="1" x14ac:dyDescent="0.3">
      <c r="B46" s="186"/>
      <c r="C46" s="213"/>
      <c r="D46" s="525" t="s">
        <v>80</v>
      </c>
      <c r="E46" s="217"/>
      <c r="F46" s="126"/>
      <c r="G46" s="126"/>
      <c r="H46" s="218"/>
      <c r="I46" s="218"/>
      <c r="J46" s="218"/>
      <c r="K46" s="218"/>
      <c r="L46" s="218"/>
      <c r="M46" s="218"/>
      <c r="N46" s="218"/>
      <c r="O46" s="187"/>
      <c r="Q46" s="455"/>
      <c r="R46" s="7"/>
      <c r="S46" s="7"/>
      <c r="T46" s="7"/>
      <c r="U46" s="7"/>
      <c r="V46" s="7"/>
      <c r="W46" s="7"/>
      <c r="X46" s="7"/>
      <c r="Y46" s="7"/>
      <c r="Z46" s="7"/>
      <c r="AA46" s="7"/>
      <c r="AB46" s="7"/>
      <c r="AC46" s="7"/>
    </row>
    <row r="47" spans="2:29" s="173" customFormat="1" x14ac:dyDescent="0.3">
      <c r="B47" s="184"/>
      <c r="C47" s="205"/>
      <c r="D47" s="472" t="s">
        <v>81</v>
      </c>
      <c r="E47" s="211"/>
      <c r="F47" s="112"/>
      <c r="G47" s="112"/>
      <c r="H47" s="898">
        <f t="shared" ref="H47:L47" si="24">$F19*H19+$F20*H20+$F21*H21+$F22*H22+$F25*H25+$F26*H26+$F27*H27+$F30*H30+$F31*H31+$F32*H32+$F33*H33</f>
        <v>0</v>
      </c>
      <c r="I47" s="898">
        <f t="shared" si="24"/>
        <v>0</v>
      </c>
      <c r="J47" s="898">
        <f t="shared" si="24"/>
        <v>0</v>
      </c>
      <c r="K47" s="898">
        <f t="shared" si="24"/>
        <v>0</v>
      </c>
      <c r="L47" s="898">
        <f t="shared" si="24"/>
        <v>0</v>
      </c>
      <c r="M47" s="898">
        <f t="shared" ref="M47:N47" si="25">$F19*M19+$F20*M20+$F21*M21+$F22*M22+$F25*M25+$F26*M26+$F27*M27+$F30*M30+$F31*M31+$F32*M32+$F33*M33</f>
        <v>0</v>
      </c>
      <c r="N47" s="898">
        <f t="shared" si="25"/>
        <v>0</v>
      </c>
      <c r="O47" s="185"/>
      <c r="Q47" s="455"/>
      <c r="R47" s="7"/>
      <c r="S47" s="7"/>
      <c r="T47" s="7"/>
      <c r="U47" s="7"/>
      <c r="V47" s="7"/>
      <c r="W47" s="7"/>
      <c r="X47" s="7"/>
      <c r="Y47" s="7"/>
      <c r="Z47" s="7"/>
      <c r="AA47" s="7"/>
      <c r="AB47" s="7"/>
      <c r="AC47" s="7"/>
    </row>
    <row r="48" spans="2:29" s="173" customFormat="1" x14ac:dyDescent="0.3">
      <c r="B48" s="184"/>
      <c r="C48" s="205"/>
      <c r="D48" s="1030"/>
      <c r="E48" s="211"/>
      <c r="F48" s="219"/>
      <c r="G48" s="112"/>
      <c r="H48" s="201">
        <v>0</v>
      </c>
      <c r="I48" s="201">
        <v>0</v>
      </c>
      <c r="J48" s="201">
        <v>0</v>
      </c>
      <c r="K48" s="201">
        <v>0</v>
      </c>
      <c r="L48" s="201">
        <v>0</v>
      </c>
      <c r="M48" s="201">
        <v>0</v>
      </c>
      <c r="N48" s="201">
        <v>0</v>
      </c>
      <c r="O48" s="185"/>
      <c r="Q48" s="455"/>
      <c r="R48" s="175"/>
      <c r="S48" s="175"/>
      <c r="T48" s="175"/>
      <c r="U48" s="175"/>
      <c r="V48" s="175"/>
      <c r="W48" s="175"/>
      <c r="X48" s="175"/>
      <c r="Y48" s="175"/>
      <c r="Z48" s="175"/>
      <c r="AA48" s="175"/>
      <c r="AB48" s="175"/>
      <c r="AC48" s="175"/>
    </row>
    <row r="49" spans="2:29" s="173" customFormat="1" x14ac:dyDescent="0.3">
      <c r="B49" s="184"/>
      <c r="C49" s="205"/>
      <c r="D49" s="1030"/>
      <c r="E49" s="211"/>
      <c r="F49" s="219"/>
      <c r="G49" s="112"/>
      <c r="H49" s="201">
        <v>0</v>
      </c>
      <c r="I49" s="201">
        <v>0</v>
      </c>
      <c r="J49" s="201">
        <v>0</v>
      </c>
      <c r="K49" s="201">
        <v>0</v>
      </c>
      <c r="L49" s="201">
        <v>0</v>
      </c>
      <c r="M49" s="201">
        <v>0</v>
      </c>
      <c r="N49" s="201">
        <v>0</v>
      </c>
      <c r="O49" s="185"/>
      <c r="Q49" s="455"/>
      <c r="R49" s="175"/>
      <c r="S49" s="175"/>
      <c r="T49" s="175"/>
      <c r="U49" s="175"/>
      <c r="V49" s="175"/>
      <c r="W49" s="175"/>
      <c r="X49" s="175"/>
      <c r="Y49" s="175"/>
      <c r="Z49" s="175"/>
      <c r="AA49" s="175"/>
      <c r="AB49" s="175"/>
      <c r="AC49" s="175"/>
    </row>
    <row r="50" spans="2:29" s="173" customFormat="1" x14ac:dyDescent="0.3">
      <c r="B50" s="184"/>
      <c r="C50" s="205"/>
      <c r="D50" s="1030"/>
      <c r="E50" s="211"/>
      <c r="F50" s="219"/>
      <c r="G50" s="112"/>
      <c r="H50" s="201">
        <v>0</v>
      </c>
      <c r="I50" s="201">
        <v>0</v>
      </c>
      <c r="J50" s="201">
        <v>0</v>
      </c>
      <c r="K50" s="201">
        <v>0</v>
      </c>
      <c r="L50" s="201">
        <v>0</v>
      </c>
      <c r="M50" s="201">
        <v>0</v>
      </c>
      <c r="N50" s="201">
        <v>0</v>
      </c>
      <c r="O50" s="185"/>
      <c r="Q50" s="455"/>
      <c r="R50" s="175"/>
      <c r="S50" s="175"/>
      <c r="T50" s="175"/>
      <c r="U50" s="175"/>
      <c r="V50" s="175"/>
      <c r="W50" s="175"/>
      <c r="X50" s="175"/>
      <c r="Y50" s="175"/>
      <c r="Z50" s="175"/>
      <c r="AA50" s="175"/>
      <c r="AB50" s="175"/>
      <c r="AC50" s="175"/>
    </row>
    <row r="51" spans="2:29" s="173" customFormat="1" x14ac:dyDescent="0.3">
      <c r="B51" s="184"/>
      <c r="C51" s="205"/>
      <c r="D51" s="1030"/>
      <c r="E51" s="211"/>
      <c r="F51" s="219"/>
      <c r="G51" s="112"/>
      <c r="H51" s="201">
        <v>0</v>
      </c>
      <c r="I51" s="201">
        <v>0</v>
      </c>
      <c r="J51" s="201">
        <v>0</v>
      </c>
      <c r="K51" s="201">
        <v>0</v>
      </c>
      <c r="L51" s="201">
        <v>0</v>
      </c>
      <c r="M51" s="201">
        <v>0</v>
      </c>
      <c r="N51" s="201">
        <v>0</v>
      </c>
      <c r="O51" s="185"/>
      <c r="Q51" s="455"/>
      <c r="R51" s="175"/>
      <c r="S51" s="175"/>
      <c r="T51" s="175"/>
      <c r="U51" s="175"/>
      <c r="V51" s="175"/>
      <c r="W51" s="175"/>
      <c r="X51" s="175"/>
      <c r="Y51" s="175"/>
      <c r="Z51" s="175"/>
      <c r="AA51" s="175"/>
      <c r="AB51" s="175"/>
      <c r="AC51" s="175"/>
    </row>
    <row r="52" spans="2:29" s="173" customFormat="1" x14ac:dyDescent="0.3">
      <c r="B52" s="184"/>
      <c r="C52" s="205"/>
      <c r="D52" s="220"/>
      <c r="E52" s="220"/>
      <c r="F52" s="221"/>
      <c r="G52" s="146"/>
      <c r="H52" s="896">
        <f t="shared" ref="H52:L52" si="26">SUM(H47:H51)</f>
        <v>0</v>
      </c>
      <c r="I52" s="896">
        <f t="shared" si="26"/>
        <v>0</v>
      </c>
      <c r="J52" s="896">
        <f t="shared" si="26"/>
        <v>0</v>
      </c>
      <c r="K52" s="896">
        <f t="shared" si="26"/>
        <v>0</v>
      </c>
      <c r="L52" s="896">
        <f t="shared" si="26"/>
        <v>0</v>
      </c>
      <c r="M52" s="896">
        <f t="shared" ref="M52:N52" si="27">SUM(M47:M51)</f>
        <v>0</v>
      </c>
      <c r="N52" s="896">
        <f t="shared" si="27"/>
        <v>0</v>
      </c>
      <c r="O52" s="185"/>
      <c r="Q52" s="455"/>
      <c r="R52" s="175"/>
      <c r="S52" s="175"/>
      <c r="T52" s="175"/>
      <c r="U52" s="175"/>
      <c r="V52" s="175"/>
      <c r="W52" s="175"/>
      <c r="X52" s="175"/>
      <c r="Y52" s="175"/>
      <c r="Z52" s="175"/>
      <c r="AA52" s="175"/>
      <c r="AB52" s="175"/>
      <c r="AC52" s="175"/>
    </row>
    <row r="53" spans="2:29" s="181" customFormat="1" x14ac:dyDescent="0.3">
      <c r="B53" s="186"/>
      <c r="C53" s="213"/>
      <c r="D53" s="482" t="s">
        <v>82</v>
      </c>
      <c r="E53" s="222"/>
      <c r="F53" s="223"/>
      <c r="G53" s="126"/>
      <c r="H53" s="224"/>
      <c r="I53" s="224"/>
      <c r="J53" s="224"/>
      <c r="K53" s="224"/>
      <c r="L53" s="224"/>
      <c r="M53" s="224"/>
      <c r="N53" s="224"/>
      <c r="O53" s="187"/>
      <c r="Q53" s="455"/>
      <c r="R53" s="175"/>
      <c r="S53" s="175"/>
      <c r="T53" s="175"/>
      <c r="U53" s="175"/>
      <c r="V53" s="175"/>
      <c r="W53" s="175"/>
      <c r="X53" s="175"/>
      <c r="Y53" s="175"/>
      <c r="Z53" s="175"/>
      <c r="AA53" s="175"/>
      <c r="AB53" s="175"/>
      <c r="AC53" s="175"/>
    </row>
    <row r="54" spans="2:29" s="173" customFormat="1" x14ac:dyDescent="0.3">
      <c r="B54" s="184"/>
      <c r="C54" s="205"/>
      <c r="D54" s="1030"/>
      <c r="E54" s="225"/>
      <c r="F54" s="226"/>
      <c r="G54" s="112"/>
      <c r="H54" s="201">
        <v>0</v>
      </c>
      <c r="I54" s="201">
        <v>0</v>
      </c>
      <c r="J54" s="201">
        <v>0</v>
      </c>
      <c r="K54" s="201">
        <v>0</v>
      </c>
      <c r="L54" s="201">
        <v>0</v>
      </c>
      <c r="M54" s="201">
        <v>0</v>
      </c>
      <c r="N54" s="201">
        <v>0</v>
      </c>
      <c r="O54" s="185"/>
      <c r="Q54" s="455"/>
      <c r="R54" s="7"/>
      <c r="S54" s="7"/>
      <c r="T54" s="7"/>
      <c r="U54" s="7"/>
      <c r="V54" s="7"/>
      <c r="W54" s="7"/>
      <c r="X54" s="7"/>
      <c r="Y54" s="7"/>
      <c r="Z54" s="7"/>
      <c r="AA54" s="7"/>
      <c r="AB54" s="7"/>
      <c r="AC54" s="7"/>
    </row>
    <row r="55" spans="2:29" s="173" customFormat="1" x14ac:dyDescent="0.3">
      <c r="B55" s="184"/>
      <c r="C55" s="205"/>
      <c r="D55" s="1030"/>
      <c r="E55" s="211"/>
      <c r="F55" s="219"/>
      <c r="G55" s="112"/>
      <c r="H55" s="201">
        <v>0</v>
      </c>
      <c r="I55" s="201">
        <v>0</v>
      </c>
      <c r="J55" s="201">
        <v>0</v>
      </c>
      <c r="K55" s="201">
        <v>0</v>
      </c>
      <c r="L55" s="201">
        <v>0</v>
      </c>
      <c r="M55" s="201">
        <v>0</v>
      </c>
      <c r="N55" s="201">
        <v>0</v>
      </c>
      <c r="O55" s="185"/>
      <c r="Q55" s="455"/>
      <c r="R55" s="7"/>
      <c r="S55" s="7"/>
      <c r="T55" s="7"/>
      <c r="U55" s="7"/>
      <c r="V55" s="7"/>
      <c r="W55" s="7"/>
      <c r="X55" s="7"/>
      <c r="Y55" s="7"/>
      <c r="Z55" s="7"/>
      <c r="AA55" s="7"/>
      <c r="AB55" s="7"/>
      <c r="AC55" s="7"/>
    </row>
    <row r="56" spans="2:29" s="173" customFormat="1" x14ac:dyDescent="0.3">
      <c r="B56" s="184"/>
      <c r="C56" s="205"/>
      <c r="D56" s="1030"/>
      <c r="E56" s="225"/>
      <c r="F56" s="226"/>
      <c r="G56" s="112"/>
      <c r="H56" s="201">
        <v>0</v>
      </c>
      <c r="I56" s="201">
        <v>0</v>
      </c>
      <c r="J56" s="201">
        <v>0</v>
      </c>
      <c r="K56" s="201">
        <v>0</v>
      </c>
      <c r="L56" s="201">
        <v>0</v>
      </c>
      <c r="M56" s="201">
        <v>0</v>
      </c>
      <c r="N56" s="201">
        <v>0</v>
      </c>
      <c r="O56" s="185"/>
      <c r="Q56" s="455"/>
      <c r="R56" s="7"/>
      <c r="S56" s="7"/>
      <c r="T56" s="7"/>
      <c r="U56" s="7"/>
      <c r="V56" s="7"/>
      <c r="W56" s="7"/>
      <c r="X56" s="7"/>
      <c r="Y56" s="7"/>
      <c r="Z56" s="7"/>
      <c r="AA56" s="7"/>
      <c r="AB56" s="7"/>
      <c r="AC56" s="7"/>
    </row>
    <row r="57" spans="2:29" s="173" customFormat="1" x14ac:dyDescent="0.3">
      <c r="B57" s="184"/>
      <c r="C57" s="205"/>
      <c r="D57" s="1030"/>
      <c r="E57" s="211"/>
      <c r="F57" s="219"/>
      <c r="G57" s="112"/>
      <c r="H57" s="201">
        <v>0</v>
      </c>
      <c r="I57" s="201">
        <v>0</v>
      </c>
      <c r="J57" s="201">
        <v>0</v>
      </c>
      <c r="K57" s="201">
        <v>0</v>
      </c>
      <c r="L57" s="201">
        <v>0</v>
      </c>
      <c r="M57" s="201">
        <v>0</v>
      </c>
      <c r="N57" s="201">
        <v>0</v>
      </c>
      <c r="O57" s="185"/>
      <c r="Q57" s="455"/>
      <c r="R57" s="7"/>
      <c r="S57" s="7"/>
      <c r="T57" s="7"/>
      <c r="U57" s="7"/>
      <c r="V57" s="7"/>
      <c r="W57" s="7"/>
      <c r="X57" s="7"/>
      <c r="Y57" s="7"/>
      <c r="Z57" s="7"/>
      <c r="AA57" s="7"/>
      <c r="AB57" s="7"/>
      <c r="AC57" s="7"/>
    </row>
    <row r="58" spans="2:29" s="173" customFormat="1" x14ac:dyDescent="0.3">
      <c r="B58" s="184"/>
      <c r="C58" s="205"/>
      <c r="D58" s="1030"/>
      <c r="E58" s="225"/>
      <c r="F58" s="226"/>
      <c r="G58" s="112"/>
      <c r="H58" s="201">
        <v>0</v>
      </c>
      <c r="I58" s="201">
        <v>0</v>
      </c>
      <c r="J58" s="201">
        <v>0</v>
      </c>
      <c r="K58" s="201">
        <v>0</v>
      </c>
      <c r="L58" s="201">
        <v>0</v>
      </c>
      <c r="M58" s="201">
        <v>0</v>
      </c>
      <c r="N58" s="201">
        <v>0</v>
      </c>
      <c r="O58" s="185"/>
      <c r="Q58" s="455"/>
      <c r="R58" s="7"/>
      <c r="S58" s="7"/>
      <c r="T58" s="7"/>
      <c r="U58" s="7"/>
      <c r="V58" s="7"/>
      <c r="W58" s="7"/>
      <c r="X58" s="7"/>
      <c r="Y58" s="7"/>
      <c r="Z58" s="7"/>
      <c r="AA58" s="7"/>
      <c r="AB58" s="7"/>
      <c r="AC58" s="7"/>
    </row>
    <row r="59" spans="2:29" s="173" customFormat="1" x14ac:dyDescent="0.3">
      <c r="B59" s="184"/>
      <c r="C59" s="205"/>
      <c r="D59" s="227"/>
      <c r="E59" s="228"/>
      <c r="F59" s="227"/>
      <c r="G59" s="146"/>
      <c r="H59" s="896">
        <f t="shared" ref="H59:L59" si="28">SUM(H54:H58)</f>
        <v>0</v>
      </c>
      <c r="I59" s="896">
        <f t="shared" si="28"/>
        <v>0</v>
      </c>
      <c r="J59" s="896">
        <f t="shared" si="28"/>
        <v>0</v>
      </c>
      <c r="K59" s="896">
        <f t="shared" si="28"/>
        <v>0</v>
      </c>
      <c r="L59" s="896">
        <f t="shared" si="28"/>
        <v>0</v>
      </c>
      <c r="M59" s="896">
        <f t="shared" ref="M59:N59" si="29">SUM(M54:M58)</f>
        <v>0</v>
      </c>
      <c r="N59" s="896">
        <f t="shared" si="29"/>
        <v>0</v>
      </c>
      <c r="O59" s="185"/>
      <c r="Q59" s="455"/>
      <c r="R59" s="7"/>
      <c r="S59" s="7"/>
      <c r="T59" s="7"/>
      <c r="U59" s="7"/>
      <c r="V59" s="7"/>
      <c r="W59" s="7"/>
      <c r="X59" s="7"/>
      <c r="Y59" s="7"/>
      <c r="Z59" s="7"/>
      <c r="AA59" s="7"/>
      <c r="AB59" s="7"/>
      <c r="AC59" s="7"/>
    </row>
    <row r="60" spans="2:29" s="173" customFormat="1" x14ac:dyDescent="0.3">
      <c r="B60" s="184"/>
      <c r="C60" s="205"/>
      <c r="D60" s="123"/>
      <c r="E60" s="112"/>
      <c r="F60" s="112"/>
      <c r="G60" s="112"/>
      <c r="H60" s="115"/>
      <c r="I60" s="229"/>
      <c r="J60" s="212"/>
      <c r="K60" s="212"/>
      <c r="L60" s="212"/>
      <c r="M60" s="212"/>
      <c r="N60" s="212"/>
      <c r="O60" s="185"/>
      <c r="Q60" s="136"/>
      <c r="R60" s="136"/>
      <c r="S60" s="136"/>
      <c r="T60" s="136"/>
      <c r="U60" s="136"/>
      <c r="V60" s="136"/>
      <c r="W60" s="136"/>
      <c r="X60" s="136"/>
      <c r="Y60" s="136"/>
      <c r="Z60" s="136"/>
      <c r="AA60" s="136"/>
      <c r="AB60" s="136"/>
      <c r="AC60" s="136"/>
    </row>
    <row r="61" spans="2:29" s="173" customFormat="1" x14ac:dyDescent="0.3">
      <c r="B61" s="184"/>
      <c r="C61" s="205"/>
      <c r="D61" s="482" t="s">
        <v>83</v>
      </c>
      <c r="E61" s="900"/>
      <c r="F61" s="901"/>
      <c r="G61" s="482"/>
      <c r="H61" s="896">
        <f t="shared" ref="H61:L61" si="30">H52-H59</f>
        <v>0</v>
      </c>
      <c r="I61" s="896">
        <f t="shared" si="30"/>
        <v>0</v>
      </c>
      <c r="J61" s="896">
        <f t="shared" si="30"/>
        <v>0</v>
      </c>
      <c r="K61" s="896">
        <f t="shared" si="30"/>
        <v>0</v>
      </c>
      <c r="L61" s="896">
        <f t="shared" si="30"/>
        <v>0</v>
      </c>
      <c r="M61" s="896">
        <f t="shared" ref="M61:N61" si="31">M52-M59</f>
        <v>0</v>
      </c>
      <c r="N61" s="896">
        <f t="shared" si="31"/>
        <v>0</v>
      </c>
      <c r="O61" s="185"/>
      <c r="Q61" s="455"/>
      <c r="R61" s="7"/>
      <c r="S61" s="7"/>
      <c r="T61" s="7"/>
      <c r="U61" s="7"/>
      <c r="V61" s="7"/>
      <c r="W61" s="7"/>
      <c r="X61" s="7"/>
      <c r="Y61" s="7"/>
      <c r="Z61" s="7"/>
      <c r="AA61" s="7"/>
      <c r="AB61" s="7"/>
      <c r="AC61" s="7"/>
    </row>
    <row r="62" spans="2:29" s="173" customFormat="1" x14ac:dyDescent="0.3">
      <c r="B62" s="184"/>
      <c r="C62" s="205"/>
      <c r="D62" s="472"/>
      <c r="E62" s="206"/>
      <c r="F62" s="206"/>
      <c r="G62" s="206"/>
      <c r="H62" s="206"/>
      <c r="I62" s="206"/>
      <c r="J62" s="206"/>
      <c r="K62" s="206"/>
      <c r="L62" s="206"/>
      <c r="M62" s="206"/>
      <c r="N62" s="206"/>
      <c r="O62" s="185"/>
      <c r="Q62" s="455"/>
      <c r="R62" s="7"/>
      <c r="S62" s="7"/>
      <c r="T62" s="7"/>
      <c r="U62" s="7"/>
      <c r="V62" s="7"/>
      <c r="W62" s="7"/>
      <c r="X62" s="7"/>
      <c r="Y62" s="7"/>
      <c r="Z62" s="7"/>
      <c r="AA62" s="7"/>
      <c r="AB62" s="7"/>
      <c r="AC62" s="7"/>
    </row>
    <row r="63" spans="2:29" s="173" customFormat="1" x14ac:dyDescent="0.3">
      <c r="B63" s="184"/>
      <c r="C63" s="205"/>
      <c r="D63" s="472"/>
      <c r="E63" s="206"/>
      <c r="F63" s="206"/>
      <c r="G63" s="206"/>
      <c r="H63" s="206"/>
      <c r="I63" s="206"/>
      <c r="J63" s="206"/>
      <c r="K63" s="206"/>
      <c r="L63" s="206"/>
      <c r="M63" s="206"/>
      <c r="N63" s="206"/>
      <c r="O63" s="185"/>
      <c r="Q63" s="136"/>
      <c r="R63" s="136"/>
      <c r="S63" s="136"/>
      <c r="T63" s="136"/>
      <c r="U63" s="136"/>
      <c r="V63" s="136"/>
      <c r="W63" s="136"/>
      <c r="X63" s="136"/>
      <c r="Y63" s="136"/>
      <c r="Z63" s="136"/>
      <c r="AA63" s="136"/>
      <c r="AB63" s="136"/>
      <c r="AC63" s="136"/>
    </row>
    <row r="64" spans="2:29" s="152" customFormat="1" x14ac:dyDescent="0.3">
      <c r="B64" s="89"/>
      <c r="C64" s="110"/>
      <c r="D64" s="118" t="s">
        <v>269</v>
      </c>
      <c r="E64" s="112"/>
      <c r="F64" s="112"/>
      <c r="G64" s="112"/>
      <c r="H64" s="893">
        <f t="shared" ref="H64:L64" si="32">H23+H28+H34+H44-H61</f>
        <v>1755091.723432</v>
      </c>
      <c r="I64" s="893">
        <f t="shared" si="32"/>
        <v>1566065.8687584</v>
      </c>
      <c r="J64" s="893">
        <f t="shared" si="32"/>
        <v>1463820.94738</v>
      </c>
      <c r="K64" s="893">
        <f t="shared" si="32"/>
        <v>1475779.1783199999</v>
      </c>
      <c r="L64" s="893">
        <f t="shared" si="32"/>
        <v>1487737.4092599999</v>
      </c>
      <c r="M64" s="893">
        <f t="shared" ref="M64:N64" si="33">M23+M28+M34+M44-M61</f>
        <v>1499695.6401999998</v>
      </c>
      <c r="N64" s="893">
        <f t="shared" si="33"/>
        <v>1499695.6401999998</v>
      </c>
      <c r="O64" s="188"/>
      <c r="Q64" s="455"/>
      <c r="R64" s="7"/>
      <c r="S64" s="7"/>
      <c r="T64" s="7"/>
      <c r="U64" s="7"/>
      <c r="V64" s="7"/>
      <c r="W64" s="7"/>
      <c r="X64" s="7"/>
      <c r="Y64" s="7"/>
      <c r="Z64" s="7"/>
      <c r="AA64" s="7"/>
      <c r="AB64" s="7"/>
      <c r="AC64" s="7"/>
    </row>
    <row r="65" spans="2:29" s="173" customFormat="1" x14ac:dyDescent="0.3">
      <c r="B65" s="184"/>
      <c r="C65" s="252"/>
      <c r="D65" s="253"/>
      <c r="E65" s="253"/>
      <c r="F65" s="253"/>
      <c r="G65" s="253"/>
      <c r="H65" s="254"/>
      <c r="I65" s="254"/>
      <c r="J65" s="254"/>
      <c r="K65" s="254"/>
      <c r="L65" s="254"/>
      <c r="M65" s="254"/>
      <c r="N65" s="254"/>
      <c r="O65" s="185"/>
      <c r="Q65" s="455"/>
      <c r="R65" s="7"/>
      <c r="S65" s="7"/>
      <c r="T65" s="7"/>
      <c r="U65" s="7"/>
      <c r="V65" s="7"/>
      <c r="W65" s="7"/>
      <c r="X65" s="7"/>
      <c r="Y65" s="7"/>
      <c r="Z65" s="7"/>
      <c r="AA65" s="7"/>
      <c r="AB65" s="7"/>
      <c r="AC65" s="7"/>
    </row>
    <row r="66" spans="2:29" s="173" customFormat="1" x14ac:dyDescent="0.3">
      <c r="B66" s="184"/>
      <c r="C66" s="189"/>
      <c r="D66" s="77"/>
      <c r="E66" s="77"/>
      <c r="F66" s="77"/>
      <c r="G66" s="77"/>
      <c r="H66" s="90"/>
      <c r="I66" s="90"/>
      <c r="J66" s="90"/>
      <c r="K66" s="90"/>
      <c r="L66" s="90"/>
      <c r="M66" s="90"/>
      <c r="N66" s="90"/>
      <c r="O66" s="185"/>
      <c r="Q66" s="455"/>
      <c r="R66" s="7"/>
      <c r="S66" s="7"/>
      <c r="T66" s="7"/>
      <c r="U66" s="7"/>
      <c r="V66" s="7"/>
      <c r="W66" s="7"/>
      <c r="X66" s="7"/>
      <c r="Y66" s="7"/>
      <c r="Z66" s="7"/>
      <c r="AA66" s="7"/>
      <c r="AB66" s="7"/>
      <c r="AC66" s="7"/>
    </row>
    <row r="67" spans="2:29" s="173" customFormat="1" x14ac:dyDescent="0.3">
      <c r="B67" s="184"/>
      <c r="C67" s="255"/>
      <c r="D67" s="256"/>
      <c r="E67" s="256"/>
      <c r="F67" s="256"/>
      <c r="G67" s="256"/>
      <c r="H67" s="257"/>
      <c r="I67" s="257"/>
      <c r="J67" s="257"/>
      <c r="K67" s="257"/>
      <c r="L67" s="257"/>
      <c r="M67" s="257"/>
      <c r="N67" s="257"/>
      <c r="O67" s="185"/>
      <c r="Q67" s="455"/>
      <c r="R67" s="7"/>
      <c r="S67" s="7"/>
      <c r="T67" s="7"/>
      <c r="U67" s="7"/>
      <c r="V67" s="7"/>
      <c r="W67" s="7"/>
      <c r="X67" s="7"/>
      <c r="Y67" s="7"/>
      <c r="Z67" s="7"/>
      <c r="AA67" s="7"/>
      <c r="AB67" s="7"/>
      <c r="AC67" s="7"/>
    </row>
    <row r="68" spans="2:29" s="181" customFormat="1" x14ac:dyDescent="0.3">
      <c r="B68" s="186"/>
      <c r="C68" s="213"/>
      <c r="D68" s="872" t="s">
        <v>84</v>
      </c>
      <c r="E68" s="133"/>
      <c r="F68" s="133"/>
      <c r="G68" s="133"/>
      <c r="H68" s="214"/>
      <c r="I68" s="214"/>
      <c r="J68" s="214"/>
      <c r="K68" s="214"/>
      <c r="L68" s="214"/>
      <c r="M68" s="214"/>
      <c r="N68" s="214"/>
      <c r="O68" s="187"/>
      <c r="Q68" s="136"/>
      <c r="R68" s="136"/>
      <c r="S68" s="136"/>
      <c r="T68" s="136"/>
      <c r="U68" s="136"/>
      <c r="V68" s="136"/>
      <c r="W68" s="136"/>
      <c r="X68" s="136"/>
      <c r="Y68" s="136"/>
      <c r="Z68" s="136"/>
      <c r="AA68" s="136"/>
      <c r="AB68" s="136"/>
      <c r="AC68" s="136"/>
    </row>
    <row r="69" spans="2:29" s="173" customFormat="1" x14ac:dyDescent="0.3">
      <c r="B69" s="184"/>
      <c r="C69" s="205"/>
      <c r="D69" s="118"/>
      <c r="E69" s="111"/>
      <c r="F69" s="111"/>
      <c r="G69" s="111"/>
      <c r="H69" s="210"/>
      <c r="I69" s="210"/>
      <c r="J69" s="210"/>
      <c r="K69" s="210"/>
      <c r="L69" s="210"/>
      <c r="M69" s="210"/>
      <c r="N69" s="210"/>
      <c r="O69" s="185"/>
      <c r="Q69" s="455"/>
      <c r="R69" s="7"/>
      <c r="S69" s="7"/>
      <c r="T69" s="7"/>
      <c r="U69" s="7"/>
      <c r="V69" s="7"/>
      <c r="W69" s="7"/>
      <c r="X69" s="7"/>
      <c r="Y69" s="7"/>
      <c r="Z69" s="7"/>
      <c r="AA69" s="7"/>
      <c r="AB69" s="7"/>
      <c r="AC69" s="7"/>
    </row>
    <row r="70" spans="2:29" s="173" customFormat="1" x14ac:dyDescent="0.3">
      <c r="B70" s="184"/>
      <c r="C70" s="205"/>
      <c r="D70" s="203"/>
      <c r="E70" s="111"/>
      <c r="F70" s="111"/>
      <c r="G70" s="111"/>
      <c r="H70" s="201">
        <v>0</v>
      </c>
      <c r="I70" s="201">
        <f t="shared" ref="I70:I75" si="34">H70</f>
        <v>0</v>
      </c>
      <c r="J70" s="201">
        <f t="shared" ref="J70:N75" si="35">I70</f>
        <v>0</v>
      </c>
      <c r="K70" s="201">
        <f t="shared" si="35"/>
        <v>0</v>
      </c>
      <c r="L70" s="201">
        <f t="shared" si="35"/>
        <v>0</v>
      </c>
      <c r="M70" s="201">
        <f t="shared" si="35"/>
        <v>0</v>
      </c>
      <c r="N70" s="201">
        <f t="shared" si="35"/>
        <v>0</v>
      </c>
      <c r="O70" s="185"/>
      <c r="Q70" s="455"/>
      <c r="R70" s="7"/>
      <c r="S70" s="7"/>
      <c r="T70" s="7"/>
      <c r="U70" s="7"/>
      <c r="V70" s="7"/>
      <c r="W70" s="7"/>
      <c r="X70" s="7"/>
      <c r="Y70" s="7"/>
      <c r="Z70" s="7"/>
      <c r="AA70" s="7"/>
      <c r="AB70" s="7"/>
      <c r="AC70" s="7"/>
    </row>
    <row r="71" spans="2:29" s="173" customFormat="1" x14ac:dyDescent="0.3">
      <c r="B71" s="184"/>
      <c r="C71" s="205"/>
      <c r="D71" s="203"/>
      <c r="E71" s="111"/>
      <c r="F71" s="111"/>
      <c r="G71" s="111"/>
      <c r="H71" s="201">
        <v>0</v>
      </c>
      <c r="I71" s="201">
        <f t="shared" si="34"/>
        <v>0</v>
      </c>
      <c r="J71" s="201">
        <f t="shared" ref="J71" si="36">I71</f>
        <v>0</v>
      </c>
      <c r="K71" s="201">
        <f t="shared" ref="K71" si="37">J71</f>
        <v>0</v>
      </c>
      <c r="L71" s="201">
        <f t="shared" ref="L71:N71" si="38">K71</f>
        <v>0</v>
      </c>
      <c r="M71" s="201">
        <f t="shared" si="38"/>
        <v>0</v>
      </c>
      <c r="N71" s="201">
        <f t="shared" si="38"/>
        <v>0</v>
      </c>
      <c r="O71" s="185"/>
      <c r="Q71" s="455"/>
      <c r="R71" s="7"/>
      <c r="S71" s="7"/>
      <c r="T71" s="7"/>
      <c r="U71" s="7"/>
      <c r="V71" s="7"/>
      <c r="W71" s="7"/>
      <c r="X71" s="7"/>
      <c r="Y71" s="7"/>
      <c r="Z71" s="7"/>
      <c r="AA71" s="7"/>
      <c r="AB71" s="7"/>
      <c r="AC71" s="7"/>
    </row>
    <row r="72" spans="2:29" s="173" customFormat="1" x14ac:dyDescent="0.3">
      <c r="B72" s="184"/>
      <c r="C72" s="205"/>
      <c r="D72" s="203"/>
      <c r="E72" s="111"/>
      <c r="F72" s="111"/>
      <c r="G72" s="111"/>
      <c r="H72" s="201">
        <v>0</v>
      </c>
      <c r="I72" s="201">
        <f t="shared" si="34"/>
        <v>0</v>
      </c>
      <c r="J72" s="201">
        <f t="shared" si="35"/>
        <v>0</v>
      </c>
      <c r="K72" s="201">
        <f t="shared" si="35"/>
        <v>0</v>
      </c>
      <c r="L72" s="201">
        <f t="shared" si="35"/>
        <v>0</v>
      </c>
      <c r="M72" s="201">
        <f t="shared" si="35"/>
        <v>0</v>
      </c>
      <c r="N72" s="201">
        <f t="shared" si="35"/>
        <v>0</v>
      </c>
      <c r="O72" s="185"/>
      <c r="Q72" s="455"/>
      <c r="R72" s="7"/>
      <c r="S72" s="7"/>
      <c r="T72" s="7"/>
      <c r="U72" s="7"/>
      <c r="V72" s="7"/>
      <c r="W72" s="7"/>
      <c r="X72" s="7"/>
      <c r="Y72" s="7"/>
      <c r="Z72" s="7"/>
      <c r="AA72" s="7"/>
      <c r="AB72" s="7"/>
      <c r="AC72" s="7"/>
    </row>
    <row r="73" spans="2:29" s="173" customFormat="1" x14ac:dyDescent="0.3">
      <c r="B73" s="184"/>
      <c r="C73" s="205"/>
      <c r="D73" s="203"/>
      <c r="E73" s="111"/>
      <c r="F73" s="111"/>
      <c r="G73" s="111"/>
      <c r="H73" s="201">
        <v>0</v>
      </c>
      <c r="I73" s="201">
        <f t="shared" si="34"/>
        <v>0</v>
      </c>
      <c r="J73" s="201">
        <f t="shared" ref="J73:N74" si="39">I73</f>
        <v>0</v>
      </c>
      <c r="K73" s="201">
        <f t="shared" si="39"/>
        <v>0</v>
      </c>
      <c r="L73" s="201">
        <f t="shared" si="39"/>
        <v>0</v>
      </c>
      <c r="M73" s="201">
        <f t="shared" si="39"/>
        <v>0</v>
      </c>
      <c r="N73" s="201">
        <f t="shared" si="39"/>
        <v>0</v>
      </c>
      <c r="O73" s="185"/>
      <c r="Q73" s="455"/>
      <c r="R73" s="7"/>
      <c r="S73" s="7"/>
      <c r="T73" s="7"/>
      <c r="U73" s="7"/>
      <c r="V73" s="7"/>
      <c r="W73" s="7"/>
      <c r="X73" s="7"/>
      <c r="Y73" s="7"/>
      <c r="Z73" s="7"/>
      <c r="AA73" s="7"/>
      <c r="AB73" s="7"/>
      <c r="AC73" s="7"/>
    </row>
    <row r="74" spans="2:29" s="173" customFormat="1" x14ac:dyDescent="0.3">
      <c r="B74" s="184"/>
      <c r="C74" s="205"/>
      <c r="D74" s="203"/>
      <c r="E74" s="111"/>
      <c r="F74" s="111"/>
      <c r="G74" s="111"/>
      <c r="H74" s="201">
        <v>0</v>
      </c>
      <c r="I74" s="201">
        <f t="shared" si="34"/>
        <v>0</v>
      </c>
      <c r="J74" s="201">
        <f t="shared" si="39"/>
        <v>0</v>
      </c>
      <c r="K74" s="201">
        <f t="shared" si="39"/>
        <v>0</v>
      </c>
      <c r="L74" s="201">
        <f t="shared" si="39"/>
        <v>0</v>
      </c>
      <c r="M74" s="201">
        <f t="shared" si="39"/>
        <v>0</v>
      </c>
      <c r="N74" s="201">
        <f t="shared" si="39"/>
        <v>0</v>
      </c>
      <c r="O74" s="185"/>
      <c r="Q74" s="455"/>
      <c r="R74" s="7"/>
      <c r="S74" s="7"/>
      <c r="T74" s="7"/>
      <c r="U74" s="7"/>
      <c r="V74" s="7"/>
      <c r="W74" s="7"/>
      <c r="X74" s="7"/>
      <c r="Y74" s="7"/>
      <c r="Z74" s="7"/>
      <c r="AA74" s="7"/>
      <c r="AB74" s="7"/>
      <c r="AC74" s="7"/>
    </row>
    <row r="75" spans="2:29" s="173" customFormat="1" x14ac:dyDescent="0.3">
      <c r="B75" s="184"/>
      <c r="C75" s="205"/>
      <c r="D75" s="230"/>
      <c r="E75" s="111"/>
      <c r="F75" s="111"/>
      <c r="G75" s="111"/>
      <c r="H75" s="201">
        <v>0</v>
      </c>
      <c r="I75" s="201">
        <f t="shared" si="34"/>
        <v>0</v>
      </c>
      <c r="J75" s="201">
        <f t="shared" si="35"/>
        <v>0</v>
      </c>
      <c r="K75" s="201">
        <f t="shared" si="35"/>
        <v>0</v>
      </c>
      <c r="L75" s="201">
        <f t="shared" si="35"/>
        <v>0</v>
      </c>
      <c r="M75" s="201">
        <f t="shared" si="35"/>
        <v>0</v>
      </c>
      <c r="N75" s="201">
        <f t="shared" si="35"/>
        <v>0</v>
      </c>
      <c r="O75" s="185"/>
      <c r="Q75" s="455"/>
      <c r="R75" s="7"/>
      <c r="S75" s="7"/>
      <c r="T75" s="7"/>
      <c r="U75" s="7"/>
      <c r="V75" s="7"/>
      <c r="W75" s="7"/>
      <c r="X75" s="7"/>
      <c r="Y75" s="7"/>
      <c r="Z75" s="7"/>
      <c r="AA75" s="7"/>
      <c r="AB75" s="7"/>
      <c r="AC75" s="7"/>
    </row>
    <row r="76" spans="2:29" s="173" customFormat="1" x14ac:dyDescent="0.3">
      <c r="B76" s="184"/>
      <c r="C76" s="205"/>
      <c r="D76" s="231"/>
      <c r="E76" s="111"/>
      <c r="F76" s="111"/>
      <c r="G76" s="111"/>
      <c r="H76" s="204"/>
      <c r="I76" s="204"/>
      <c r="J76" s="204"/>
      <c r="K76" s="204"/>
      <c r="L76" s="204"/>
      <c r="M76" s="204"/>
      <c r="N76" s="204"/>
      <c r="O76" s="185"/>
      <c r="Q76" s="455"/>
      <c r="R76" s="7"/>
      <c r="S76" s="7"/>
      <c r="T76" s="7"/>
      <c r="U76" s="7"/>
      <c r="V76" s="7"/>
      <c r="W76" s="7"/>
      <c r="X76" s="7"/>
      <c r="Y76" s="7"/>
      <c r="Z76" s="7"/>
      <c r="AA76" s="7"/>
      <c r="AB76" s="7"/>
      <c r="AC76" s="7"/>
    </row>
    <row r="77" spans="2:29" s="152" customFormat="1" x14ac:dyDescent="0.3">
      <c r="B77" s="89"/>
      <c r="C77" s="110"/>
      <c r="D77" s="118" t="s">
        <v>269</v>
      </c>
      <c r="E77" s="118"/>
      <c r="F77" s="118"/>
      <c r="G77" s="118"/>
      <c r="H77" s="893">
        <f t="shared" ref="H77:L77" si="40">SUM(H70:H75)</f>
        <v>0</v>
      </c>
      <c r="I77" s="893">
        <f t="shared" si="40"/>
        <v>0</v>
      </c>
      <c r="J77" s="893">
        <f t="shared" si="40"/>
        <v>0</v>
      </c>
      <c r="K77" s="893">
        <f t="shared" si="40"/>
        <v>0</v>
      </c>
      <c r="L77" s="893">
        <f t="shared" si="40"/>
        <v>0</v>
      </c>
      <c r="M77" s="893">
        <f t="shared" ref="M77:N77" si="41">SUM(M70:M75)</f>
        <v>0</v>
      </c>
      <c r="N77" s="893">
        <f t="shared" si="41"/>
        <v>0</v>
      </c>
      <c r="O77" s="188"/>
      <c r="Q77" s="455"/>
      <c r="R77" s="7"/>
      <c r="S77" s="7"/>
      <c r="T77" s="7"/>
      <c r="U77" s="7"/>
      <c r="V77" s="7"/>
      <c r="W77" s="7"/>
      <c r="X77" s="7"/>
      <c r="Y77" s="7"/>
      <c r="Z77" s="7"/>
      <c r="AA77" s="7"/>
      <c r="AB77" s="7"/>
      <c r="AC77" s="7"/>
    </row>
    <row r="78" spans="2:29" s="173" customFormat="1" x14ac:dyDescent="0.3">
      <c r="B78" s="184"/>
      <c r="C78" s="252"/>
      <c r="D78" s="253"/>
      <c r="E78" s="253"/>
      <c r="F78" s="253"/>
      <c r="G78" s="253"/>
      <c r="H78" s="254"/>
      <c r="I78" s="254"/>
      <c r="J78" s="254"/>
      <c r="K78" s="254"/>
      <c r="L78" s="254"/>
      <c r="M78" s="254"/>
      <c r="N78" s="254"/>
      <c r="O78" s="185"/>
      <c r="Q78" s="455"/>
      <c r="R78" s="7"/>
      <c r="S78" s="7"/>
      <c r="T78" s="7"/>
      <c r="U78" s="7"/>
      <c r="V78" s="7"/>
      <c r="W78" s="7"/>
      <c r="X78" s="7"/>
      <c r="Y78" s="7"/>
      <c r="Z78" s="7"/>
      <c r="AA78" s="7"/>
      <c r="AB78" s="7"/>
      <c r="AC78" s="7"/>
    </row>
    <row r="79" spans="2:29" s="173" customFormat="1" x14ac:dyDescent="0.3">
      <c r="B79" s="184"/>
      <c r="C79" s="189"/>
      <c r="D79" s="77"/>
      <c r="E79" s="77"/>
      <c r="F79" s="77"/>
      <c r="G79" s="77"/>
      <c r="H79" s="90"/>
      <c r="I79" s="90"/>
      <c r="J79" s="90"/>
      <c r="K79" s="90"/>
      <c r="L79" s="90"/>
      <c r="M79" s="90"/>
      <c r="N79" s="90"/>
      <c r="O79" s="185"/>
      <c r="Q79" s="455"/>
      <c r="R79" s="7"/>
      <c r="S79" s="7"/>
      <c r="T79" s="7"/>
      <c r="U79" s="7"/>
      <c r="V79" s="7"/>
      <c r="W79" s="7"/>
      <c r="X79" s="7"/>
      <c r="Y79" s="7"/>
      <c r="Z79" s="7"/>
      <c r="AA79" s="7"/>
      <c r="AB79" s="7"/>
      <c r="AC79" s="7"/>
    </row>
    <row r="80" spans="2:29" x14ac:dyDescent="0.3">
      <c r="B80" s="80"/>
      <c r="C80" s="81"/>
      <c r="D80" s="81"/>
      <c r="E80" s="81"/>
      <c r="F80" s="81"/>
      <c r="G80" s="81"/>
      <c r="H80" s="161"/>
      <c r="I80" s="161"/>
      <c r="J80" s="161"/>
      <c r="K80" s="161"/>
      <c r="L80" s="161"/>
      <c r="M80" s="161"/>
      <c r="N80" s="161"/>
      <c r="O80" s="84"/>
    </row>
    <row r="81" spans="2:15" x14ac:dyDescent="0.3">
      <c r="B81" s="56"/>
      <c r="C81" s="57"/>
      <c r="D81" s="57"/>
      <c r="E81" s="57"/>
      <c r="F81" s="57"/>
      <c r="G81" s="57"/>
      <c r="H81" s="86"/>
      <c r="I81" s="86"/>
      <c r="J81" s="86"/>
      <c r="K81" s="86"/>
      <c r="L81" s="86"/>
      <c r="M81" s="86"/>
      <c r="N81" s="86"/>
      <c r="O81" s="60"/>
    </row>
    <row r="82" spans="2:15" x14ac:dyDescent="0.3">
      <c r="B82" s="61"/>
      <c r="C82" s="62"/>
      <c r="D82" s="62"/>
      <c r="E82" s="62"/>
      <c r="F82" s="62"/>
      <c r="G82" s="62"/>
      <c r="H82" s="79"/>
      <c r="I82" s="79"/>
      <c r="J82" s="79"/>
      <c r="K82" s="79"/>
      <c r="L82" s="79"/>
      <c r="M82" s="79"/>
      <c r="N82" s="79"/>
      <c r="O82" s="65"/>
    </row>
    <row r="83" spans="2:15" x14ac:dyDescent="0.3">
      <c r="B83" s="61"/>
      <c r="C83" s="62"/>
      <c r="D83" s="63"/>
      <c r="E83" s="62"/>
      <c r="F83" s="62"/>
      <c r="G83" s="62"/>
      <c r="H83" s="871" t="str">
        <f t="shared" ref="H83:L83" si="42">H8</f>
        <v>2020/21</v>
      </c>
      <c r="I83" s="871" t="str">
        <f t="shared" si="42"/>
        <v>2021/22</v>
      </c>
      <c r="J83" s="871" t="str">
        <f t="shared" si="42"/>
        <v>2022/23</v>
      </c>
      <c r="K83" s="871" t="str">
        <f t="shared" si="42"/>
        <v>2023/24</v>
      </c>
      <c r="L83" s="871" t="str">
        <f t="shared" si="42"/>
        <v>2024/25</v>
      </c>
      <c r="M83" s="871" t="str">
        <f t="shared" ref="M83:N83" si="43">M8</f>
        <v>2025/26</v>
      </c>
      <c r="N83" s="871" t="str">
        <f t="shared" si="43"/>
        <v>2026/27</v>
      </c>
      <c r="O83" s="65"/>
    </row>
    <row r="84" spans="2:15" x14ac:dyDescent="0.3">
      <c r="B84" s="61"/>
      <c r="C84" s="62"/>
      <c r="D84" s="62"/>
      <c r="E84" s="62"/>
      <c r="F84" s="62"/>
      <c r="G84" s="62"/>
      <c r="H84" s="79"/>
      <c r="I84" s="79"/>
      <c r="J84" s="79"/>
      <c r="K84" s="79"/>
      <c r="L84" s="79"/>
      <c r="M84" s="79"/>
      <c r="N84" s="79"/>
      <c r="O84" s="65"/>
    </row>
    <row r="85" spans="2:15" x14ac:dyDescent="0.3">
      <c r="B85" s="61"/>
      <c r="C85" s="255"/>
      <c r="D85" s="256"/>
      <c r="E85" s="256"/>
      <c r="F85" s="256"/>
      <c r="G85" s="256"/>
      <c r="H85" s="257"/>
      <c r="I85" s="257"/>
      <c r="J85" s="257"/>
      <c r="K85" s="257"/>
      <c r="L85" s="257"/>
      <c r="M85" s="257"/>
      <c r="N85" s="257"/>
      <c r="O85" s="65"/>
    </row>
    <row r="86" spans="2:15" x14ac:dyDescent="0.3">
      <c r="B86" s="61"/>
      <c r="C86" s="213"/>
      <c r="D86" s="882" t="s">
        <v>242</v>
      </c>
      <c r="E86" s="133"/>
      <c r="F86" s="133"/>
      <c r="G86" s="133"/>
      <c r="H86" s="214"/>
      <c r="I86" s="214"/>
      <c r="J86" s="214"/>
      <c r="K86" s="214"/>
      <c r="L86" s="214"/>
      <c r="M86" s="214"/>
      <c r="N86" s="214"/>
      <c r="O86" s="65"/>
    </row>
    <row r="87" spans="2:15" x14ac:dyDescent="0.3">
      <c r="B87" s="61"/>
      <c r="C87" s="205"/>
      <c r="D87" s="112"/>
      <c r="E87" s="111"/>
      <c r="F87" s="111"/>
      <c r="G87" s="111"/>
      <c r="H87" s="210"/>
      <c r="I87" s="210"/>
      <c r="J87" s="210"/>
      <c r="K87" s="210"/>
      <c r="L87" s="210"/>
      <c r="M87" s="210"/>
      <c r="N87" s="210"/>
      <c r="O87" s="65"/>
    </row>
    <row r="88" spans="2:15" x14ac:dyDescent="0.3">
      <c r="B88" s="61"/>
      <c r="C88" s="114"/>
      <c r="D88" s="115" t="s">
        <v>85</v>
      </c>
      <c r="E88" s="115"/>
      <c r="F88" s="115"/>
      <c r="G88" s="115"/>
      <c r="H88" s="201">
        <v>0</v>
      </c>
      <c r="I88" s="201">
        <f t="shared" ref="I88:I90" si="44">H88</f>
        <v>0</v>
      </c>
      <c r="J88" s="201">
        <f t="shared" ref="J88:N90" si="45">I88</f>
        <v>0</v>
      </c>
      <c r="K88" s="201">
        <f t="shared" ref="K88:N91" si="46">J88</f>
        <v>0</v>
      </c>
      <c r="L88" s="201">
        <f t="shared" si="46"/>
        <v>0</v>
      </c>
      <c r="M88" s="201">
        <f t="shared" si="46"/>
        <v>0</v>
      </c>
      <c r="N88" s="201">
        <f t="shared" si="46"/>
        <v>0</v>
      </c>
      <c r="O88" s="65"/>
    </row>
    <row r="89" spans="2:15" x14ac:dyDescent="0.3">
      <c r="B89" s="61"/>
      <c r="C89" s="114"/>
      <c r="D89" s="112" t="s">
        <v>9</v>
      </c>
      <c r="E89" s="115"/>
      <c r="F89" s="115"/>
      <c r="G89" s="115"/>
      <c r="H89" s="201">
        <v>0</v>
      </c>
      <c r="I89" s="201">
        <f t="shared" si="44"/>
        <v>0</v>
      </c>
      <c r="J89" s="201">
        <f t="shared" si="45"/>
        <v>0</v>
      </c>
      <c r="K89" s="201">
        <f t="shared" si="45"/>
        <v>0</v>
      </c>
      <c r="L89" s="201">
        <f t="shared" si="45"/>
        <v>0</v>
      </c>
      <c r="M89" s="201">
        <f t="shared" si="45"/>
        <v>0</v>
      </c>
      <c r="N89" s="201">
        <f t="shared" si="45"/>
        <v>0</v>
      </c>
      <c r="O89" s="65"/>
    </row>
    <row r="90" spans="2:15" x14ac:dyDescent="0.3">
      <c r="B90" s="61"/>
      <c r="C90" s="114"/>
      <c r="D90" s="121" t="s">
        <v>335</v>
      </c>
      <c r="E90" s="115"/>
      <c r="F90" s="115"/>
      <c r="G90" s="115"/>
      <c r="H90" s="201">
        <v>0</v>
      </c>
      <c r="I90" s="201">
        <f t="shared" si="44"/>
        <v>0</v>
      </c>
      <c r="J90" s="201">
        <f t="shared" si="45"/>
        <v>0</v>
      </c>
      <c r="K90" s="201">
        <f t="shared" si="45"/>
        <v>0</v>
      </c>
      <c r="L90" s="201">
        <f t="shared" si="45"/>
        <v>0</v>
      </c>
      <c r="M90" s="201">
        <f t="shared" si="45"/>
        <v>0</v>
      </c>
      <c r="N90" s="201">
        <f t="shared" si="45"/>
        <v>0</v>
      </c>
      <c r="O90" s="65"/>
    </row>
    <row r="91" spans="2:15" x14ac:dyDescent="0.3">
      <c r="B91" s="61"/>
      <c r="C91" s="114"/>
      <c r="D91" s="1278" t="s">
        <v>611</v>
      </c>
      <c r="E91" s="115"/>
      <c r="F91" s="115"/>
      <c r="G91" s="115"/>
      <c r="H91" s="201">
        <v>0</v>
      </c>
      <c r="I91" s="898">
        <f>geg!G25*tab!C48</f>
        <v>0</v>
      </c>
      <c r="J91" s="201">
        <v>0</v>
      </c>
      <c r="K91" s="201">
        <f t="shared" si="46"/>
        <v>0</v>
      </c>
      <c r="L91" s="201">
        <f t="shared" si="46"/>
        <v>0</v>
      </c>
      <c r="M91" s="201">
        <f t="shared" si="46"/>
        <v>0</v>
      </c>
      <c r="N91" s="201">
        <f t="shared" si="46"/>
        <v>0</v>
      </c>
      <c r="O91" s="65"/>
    </row>
    <row r="92" spans="2:15" x14ac:dyDescent="0.3">
      <c r="B92" s="61"/>
      <c r="C92" s="114"/>
      <c r="D92" s="772"/>
      <c r="E92" s="115"/>
      <c r="F92" s="115"/>
      <c r="G92" s="115"/>
      <c r="H92" s="201">
        <v>0</v>
      </c>
      <c r="I92" s="201">
        <f t="shared" ref="I92:I95" si="47">H92</f>
        <v>0</v>
      </c>
      <c r="J92" s="201">
        <f t="shared" ref="J92:J95" si="48">I92</f>
        <v>0</v>
      </c>
      <c r="K92" s="201">
        <f t="shared" ref="K92:K95" si="49">J92</f>
        <v>0</v>
      </c>
      <c r="L92" s="201">
        <f t="shared" ref="L92:N95" si="50">K92</f>
        <v>0</v>
      </c>
      <c r="M92" s="201">
        <f t="shared" si="50"/>
        <v>0</v>
      </c>
      <c r="N92" s="201">
        <f t="shared" si="50"/>
        <v>0</v>
      </c>
      <c r="O92" s="65"/>
    </row>
    <row r="93" spans="2:15" x14ac:dyDescent="0.3">
      <c r="B93" s="61"/>
      <c r="C93" s="114"/>
      <c r="D93" s="772"/>
      <c r="E93" s="115"/>
      <c r="F93" s="115"/>
      <c r="G93" s="115"/>
      <c r="H93" s="201">
        <v>0</v>
      </c>
      <c r="I93" s="201">
        <f t="shared" si="47"/>
        <v>0</v>
      </c>
      <c r="J93" s="201">
        <f t="shared" si="48"/>
        <v>0</v>
      </c>
      <c r="K93" s="201">
        <f t="shared" si="49"/>
        <v>0</v>
      </c>
      <c r="L93" s="201">
        <f t="shared" si="50"/>
        <v>0</v>
      </c>
      <c r="M93" s="201">
        <f t="shared" si="50"/>
        <v>0</v>
      </c>
      <c r="N93" s="201">
        <f t="shared" si="50"/>
        <v>0</v>
      </c>
      <c r="O93" s="65"/>
    </row>
    <row r="94" spans="2:15" x14ac:dyDescent="0.3">
      <c r="B94" s="61"/>
      <c r="C94" s="114"/>
      <c r="D94" s="772"/>
      <c r="E94" s="115"/>
      <c r="F94" s="115"/>
      <c r="G94" s="115"/>
      <c r="H94" s="201">
        <v>0</v>
      </c>
      <c r="I94" s="201">
        <f t="shared" si="47"/>
        <v>0</v>
      </c>
      <c r="J94" s="201">
        <f t="shared" si="48"/>
        <v>0</v>
      </c>
      <c r="K94" s="201">
        <f t="shared" si="49"/>
        <v>0</v>
      </c>
      <c r="L94" s="201">
        <f t="shared" si="50"/>
        <v>0</v>
      </c>
      <c r="M94" s="201">
        <f t="shared" si="50"/>
        <v>0</v>
      </c>
      <c r="N94" s="201">
        <f t="shared" si="50"/>
        <v>0</v>
      </c>
      <c r="O94" s="65"/>
    </row>
    <row r="95" spans="2:15" x14ac:dyDescent="0.3">
      <c r="B95" s="61"/>
      <c r="C95" s="114"/>
      <c r="D95" s="201"/>
      <c r="E95" s="115"/>
      <c r="F95" s="115"/>
      <c r="G95" s="115"/>
      <c r="H95" s="201">
        <v>0</v>
      </c>
      <c r="I95" s="201">
        <f t="shared" si="47"/>
        <v>0</v>
      </c>
      <c r="J95" s="201">
        <f t="shared" si="48"/>
        <v>0</v>
      </c>
      <c r="K95" s="201">
        <f t="shared" si="49"/>
        <v>0</v>
      </c>
      <c r="L95" s="201">
        <f t="shared" si="50"/>
        <v>0</v>
      </c>
      <c r="M95" s="201">
        <f t="shared" si="50"/>
        <v>0</v>
      </c>
      <c r="N95" s="201">
        <f t="shared" si="50"/>
        <v>0</v>
      </c>
      <c r="O95" s="65"/>
    </row>
    <row r="96" spans="2:15" x14ac:dyDescent="0.3">
      <c r="B96" s="61"/>
      <c r="C96" s="114"/>
      <c r="D96" s="112"/>
      <c r="E96" s="115"/>
      <c r="F96" s="115"/>
      <c r="G96" s="115"/>
      <c r="H96" s="204"/>
      <c r="I96" s="204"/>
      <c r="J96" s="204"/>
      <c r="K96" s="204"/>
      <c r="L96" s="204"/>
      <c r="M96" s="204"/>
      <c r="N96" s="204"/>
      <c r="O96" s="65"/>
    </row>
    <row r="97" spans="2:29" x14ac:dyDescent="0.3">
      <c r="B97" s="61"/>
      <c r="C97" s="114"/>
      <c r="D97" s="118" t="s">
        <v>269</v>
      </c>
      <c r="E97" s="115"/>
      <c r="F97" s="115"/>
      <c r="G97" s="115"/>
      <c r="H97" s="893">
        <f t="shared" ref="H97:L97" si="51">SUM(H88:H95)</f>
        <v>0</v>
      </c>
      <c r="I97" s="893">
        <f t="shared" si="51"/>
        <v>0</v>
      </c>
      <c r="J97" s="893">
        <f t="shared" si="51"/>
        <v>0</v>
      </c>
      <c r="K97" s="893">
        <f t="shared" si="51"/>
        <v>0</v>
      </c>
      <c r="L97" s="893">
        <f t="shared" si="51"/>
        <v>0</v>
      </c>
      <c r="M97" s="893">
        <f t="shared" ref="M97:N97" si="52">SUM(M88:M95)</f>
        <v>0</v>
      </c>
      <c r="N97" s="893">
        <f t="shared" si="52"/>
        <v>0</v>
      </c>
      <c r="O97" s="65"/>
    </row>
    <row r="98" spans="2:29" x14ac:dyDescent="0.3">
      <c r="B98" s="61"/>
      <c r="C98" s="233"/>
      <c r="D98" s="120"/>
      <c r="E98" s="120"/>
      <c r="F98" s="120"/>
      <c r="G98" s="120"/>
      <c r="H98" s="258"/>
      <c r="I98" s="258"/>
      <c r="J98" s="258"/>
      <c r="K98" s="258"/>
      <c r="L98" s="259"/>
      <c r="M98" s="259"/>
      <c r="N98" s="259"/>
      <c r="O98" s="65"/>
    </row>
    <row r="99" spans="2:29" x14ac:dyDescent="0.3">
      <c r="B99" s="61"/>
      <c r="C99" s="77"/>
      <c r="D99" s="69"/>
      <c r="E99" s="69"/>
      <c r="F99" s="69"/>
      <c r="G99" s="69"/>
      <c r="H99" s="190"/>
      <c r="I99" s="190"/>
      <c r="J99" s="190"/>
      <c r="K99" s="190"/>
      <c r="L99" s="191"/>
      <c r="M99" s="191"/>
      <c r="N99" s="191"/>
      <c r="O99" s="65"/>
    </row>
    <row r="100" spans="2:29" x14ac:dyDescent="0.3">
      <c r="B100" s="61"/>
      <c r="C100" s="260"/>
      <c r="D100" s="107"/>
      <c r="E100" s="107"/>
      <c r="F100" s="107"/>
      <c r="G100" s="107"/>
      <c r="H100" s="261"/>
      <c r="I100" s="261"/>
      <c r="J100" s="261"/>
      <c r="K100" s="261"/>
      <c r="L100" s="262"/>
      <c r="M100" s="262"/>
      <c r="N100" s="262"/>
      <c r="O100" s="65"/>
    </row>
    <row r="101" spans="2:29" x14ac:dyDescent="0.3">
      <c r="B101" s="61"/>
      <c r="C101" s="232"/>
      <c r="D101" s="212" t="s">
        <v>88</v>
      </c>
      <c r="E101" s="212"/>
      <c r="F101" s="212"/>
      <c r="G101" s="212"/>
      <c r="H101" s="895">
        <f t="shared" ref="H101:L101" si="53">H64+H77+H97</f>
        <v>1755091.723432</v>
      </c>
      <c r="I101" s="895">
        <f t="shared" si="53"/>
        <v>1566065.8687584</v>
      </c>
      <c r="J101" s="895">
        <f t="shared" si="53"/>
        <v>1463820.94738</v>
      </c>
      <c r="K101" s="895">
        <f t="shared" si="53"/>
        <v>1475779.1783199999</v>
      </c>
      <c r="L101" s="895">
        <f t="shared" si="53"/>
        <v>1487737.4092599999</v>
      </c>
      <c r="M101" s="895">
        <f t="shared" ref="M101:N101" si="54">M64+M77+M97</f>
        <v>1499695.6401999998</v>
      </c>
      <c r="N101" s="895">
        <f t="shared" si="54"/>
        <v>1499695.6401999998</v>
      </c>
      <c r="O101" s="65"/>
    </row>
    <row r="102" spans="2:29" x14ac:dyDescent="0.3">
      <c r="B102" s="61"/>
      <c r="C102" s="233"/>
      <c r="D102" s="234"/>
      <c r="E102" s="234"/>
      <c r="F102" s="234"/>
      <c r="G102" s="234"/>
      <c r="H102" s="235"/>
      <c r="I102" s="235"/>
      <c r="J102" s="235"/>
      <c r="K102" s="235"/>
      <c r="L102" s="235"/>
      <c r="M102" s="235"/>
      <c r="N102" s="235"/>
      <c r="O102" s="65"/>
    </row>
    <row r="103" spans="2:29" x14ac:dyDescent="0.3">
      <c r="B103" s="61"/>
      <c r="C103" s="62"/>
      <c r="D103" s="62"/>
      <c r="E103" s="62"/>
      <c r="F103" s="62"/>
      <c r="G103" s="62"/>
      <c r="H103" s="79"/>
      <c r="I103" s="79"/>
      <c r="J103" s="79"/>
      <c r="K103" s="79"/>
      <c r="L103" s="79"/>
      <c r="M103" s="79"/>
      <c r="N103" s="79"/>
      <c r="O103" s="65"/>
    </row>
    <row r="104" spans="2:29" x14ac:dyDescent="0.3">
      <c r="B104" s="61"/>
      <c r="C104" s="62"/>
      <c r="D104" s="62"/>
      <c r="E104" s="62"/>
      <c r="F104" s="62"/>
      <c r="G104" s="62"/>
      <c r="H104" s="79"/>
      <c r="I104" s="79"/>
      <c r="J104" s="79"/>
      <c r="K104" s="79"/>
      <c r="L104" s="79"/>
      <c r="M104" s="79"/>
      <c r="N104" s="79"/>
      <c r="O104" s="65"/>
    </row>
    <row r="105" spans="2:29" x14ac:dyDescent="0.3">
      <c r="B105" s="61"/>
      <c r="C105" s="163"/>
      <c r="D105" s="108"/>
      <c r="E105" s="108"/>
      <c r="F105" s="108"/>
      <c r="G105" s="108"/>
      <c r="H105" s="164"/>
      <c r="I105" s="164"/>
      <c r="J105" s="164"/>
      <c r="K105" s="164"/>
      <c r="L105" s="164"/>
      <c r="M105" s="164"/>
      <c r="N105" s="164"/>
      <c r="O105" s="65"/>
    </row>
    <row r="106" spans="2:29" s="136" customFormat="1" x14ac:dyDescent="0.3">
      <c r="B106" s="134"/>
      <c r="C106" s="125"/>
      <c r="D106" s="872" t="s">
        <v>243</v>
      </c>
      <c r="E106" s="873"/>
      <c r="F106" s="873"/>
      <c r="G106" s="126"/>
      <c r="H106" s="239"/>
      <c r="I106" s="239"/>
      <c r="J106" s="239"/>
      <c r="K106" s="239"/>
      <c r="L106" s="239"/>
      <c r="M106" s="239"/>
      <c r="N106" s="239"/>
      <c r="O106" s="135"/>
      <c r="Q106" s="455"/>
      <c r="R106" s="7"/>
      <c r="S106" s="7"/>
      <c r="T106" s="7"/>
      <c r="U106" s="7"/>
      <c r="V106" s="7"/>
      <c r="W106" s="7"/>
      <c r="X106" s="7"/>
      <c r="Y106" s="7"/>
      <c r="Z106" s="7"/>
      <c r="AA106" s="7"/>
      <c r="AB106" s="7"/>
      <c r="AC106" s="7"/>
    </row>
    <row r="107" spans="2:29" x14ac:dyDescent="0.3">
      <c r="B107" s="61"/>
      <c r="C107" s="114"/>
      <c r="D107" s="883"/>
      <c r="E107" s="883"/>
      <c r="F107" s="881" t="s">
        <v>327</v>
      </c>
      <c r="G107" s="115"/>
      <c r="H107" s="226"/>
      <c r="I107" s="226"/>
      <c r="J107" s="226"/>
      <c r="K107" s="124"/>
      <c r="L107" s="240"/>
      <c r="M107" s="240"/>
      <c r="N107" s="240"/>
      <c r="O107" s="65"/>
    </row>
    <row r="108" spans="2:29" s="136" customFormat="1" x14ac:dyDescent="0.3">
      <c r="B108" s="134"/>
      <c r="C108" s="125"/>
      <c r="D108" s="482" t="s">
        <v>503</v>
      </c>
      <c r="E108" s="884"/>
      <c r="F108" s="881"/>
      <c r="G108" s="241"/>
      <c r="H108" s="242"/>
      <c r="I108" s="242"/>
      <c r="J108" s="242"/>
      <c r="K108" s="242"/>
      <c r="L108" s="243"/>
      <c r="M108" s="243"/>
      <c r="N108" s="243"/>
      <c r="O108" s="135"/>
      <c r="Q108" s="455"/>
      <c r="R108" s="7"/>
      <c r="S108" s="7"/>
      <c r="T108" s="7"/>
      <c r="U108" s="7"/>
      <c r="V108" s="7"/>
      <c r="W108" s="7"/>
      <c r="X108" s="7"/>
      <c r="Y108" s="7"/>
      <c r="Z108" s="7"/>
      <c r="AA108" s="7"/>
      <c r="AB108" s="7"/>
      <c r="AC108" s="7"/>
    </row>
    <row r="109" spans="2:29" x14ac:dyDescent="0.3">
      <c r="B109" s="61"/>
      <c r="C109" s="114"/>
      <c r="D109" s="512" t="s">
        <v>170</v>
      </c>
      <c r="E109" s="244"/>
      <c r="F109" s="251"/>
      <c r="G109" s="244"/>
      <c r="H109" s="898">
        <f>dir!T26+dir!T48</f>
        <v>64904.567811934903</v>
      </c>
      <c r="I109" s="898">
        <f>dir!T71</f>
        <v>69662.776853526229</v>
      </c>
      <c r="J109" s="898">
        <f>dir!T93</f>
        <v>72514.381193490059</v>
      </c>
      <c r="K109" s="898">
        <f>dir!T115</f>
        <v>74796.872332730563</v>
      </c>
      <c r="L109" s="898">
        <f>dir!T137</f>
        <v>77151.82350813743</v>
      </c>
      <c r="M109" s="898">
        <f>dir!T159</f>
        <v>79561.119710669082</v>
      </c>
      <c r="N109" s="898">
        <f>dir!T181</f>
        <v>82060.990958408685</v>
      </c>
      <c r="O109" s="65"/>
    </row>
    <row r="110" spans="2:29" x14ac:dyDescent="0.3">
      <c r="B110" s="61"/>
      <c r="C110" s="114"/>
      <c r="D110" s="512" t="s">
        <v>182</v>
      </c>
      <c r="E110" s="244"/>
      <c r="F110" s="251"/>
      <c r="G110" s="244"/>
      <c r="H110" s="898">
        <f>op!T71</f>
        <v>70143.936000000016</v>
      </c>
      <c r="I110" s="898">
        <f>op!T139</f>
        <v>74803.199999999983</v>
      </c>
      <c r="J110" s="898">
        <f>op!T207</f>
        <v>78048</v>
      </c>
      <c r="K110" s="898">
        <f>op!T274</f>
        <v>80678.400000000009</v>
      </c>
      <c r="L110" s="898">
        <f>op!T341</f>
        <v>83423.999999999985</v>
      </c>
      <c r="M110" s="898">
        <f>op!T408</f>
        <v>87052.800000000003</v>
      </c>
      <c r="N110" s="898">
        <f>op!T475</f>
        <v>87052.800000000003</v>
      </c>
      <c r="O110" s="65"/>
    </row>
    <row r="111" spans="2:29" x14ac:dyDescent="0.3">
      <c r="B111" s="61"/>
      <c r="C111" s="114"/>
      <c r="D111" s="484" t="s">
        <v>450</v>
      </c>
      <c r="E111" s="244"/>
      <c r="F111" s="251"/>
      <c r="G111" s="244"/>
      <c r="H111" s="898">
        <f>obp!T89</f>
        <v>57830.400000000001</v>
      </c>
      <c r="I111" s="898">
        <f>obp!T132</f>
        <v>60403.200000000004</v>
      </c>
      <c r="J111" s="898">
        <f>obp!T174</f>
        <v>61670.400000000009</v>
      </c>
      <c r="K111" s="898">
        <f>obp!T216</f>
        <v>62841.600000000006</v>
      </c>
      <c r="L111" s="898">
        <f>obp!T258</f>
        <v>63955.200000000012</v>
      </c>
      <c r="M111" s="898">
        <f>obp!T300</f>
        <v>63955.200000000012</v>
      </c>
      <c r="N111" s="898">
        <f>obp!T342</f>
        <v>63955.200000000012</v>
      </c>
      <c r="O111" s="65"/>
    </row>
    <row r="112" spans="2:29" x14ac:dyDescent="0.3">
      <c r="B112" s="61"/>
      <c r="C112" s="114"/>
      <c r="D112" s="1031"/>
      <c r="E112" s="246"/>
      <c r="F112" s="247"/>
      <c r="G112" s="246"/>
      <c r="H112" s="893">
        <f t="shared" ref="H112:L112" si="55">SUM(H109:H111)</f>
        <v>192878.9038119349</v>
      </c>
      <c r="I112" s="893">
        <f t="shared" si="55"/>
        <v>204869.17685352621</v>
      </c>
      <c r="J112" s="893">
        <f t="shared" si="55"/>
        <v>212232.78119349008</v>
      </c>
      <c r="K112" s="893">
        <f t="shared" si="55"/>
        <v>218316.87233273059</v>
      </c>
      <c r="L112" s="893">
        <f t="shared" si="55"/>
        <v>224531.02350813744</v>
      </c>
      <c r="M112" s="893">
        <f t="shared" ref="M112:N112" si="56">SUM(M109:M111)</f>
        <v>230569.1197106691</v>
      </c>
      <c r="N112" s="893">
        <f t="shared" si="56"/>
        <v>233068.99095840869</v>
      </c>
      <c r="O112" s="65"/>
    </row>
    <row r="113" spans="2:29" s="136" customFormat="1" x14ac:dyDescent="0.3">
      <c r="B113" s="134"/>
      <c r="C113" s="248"/>
      <c r="D113" s="482" t="s">
        <v>334</v>
      </c>
      <c r="E113" s="126"/>
      <c r="F113" s="249"/>
      <c r="G113" s="126"/>
      <c r="H113" s="132"/>
      <c r="I113" s="132"/>
      <c r="J113" s="132"/>
      <c r="K113" s="132"/>
      <c r="L113" s="132"/>
      <c r="M113" s="132"/>
      <c r="N113" s="132"/>
      <c r="O113" s="135"/>
      <c r="Q113" s="455"/>
      <c r="R113" s="7"/>
      <c r="S113" s="7"/>
      <c r="T113" s="7"/>
      <c r="U113" s="7"/>
      <c r="V113" s="7"/>
      <c r="W113" s="7"/>
      <c r="X113" s="7"/>
      <c r="Y113" s="7"/>
      <c r="Z113" s="7"/>
      <c r="AA113" s="7"/>
      <c r="AB113" s="7"/>
      <c r="AC113" s="7"/>
    </row>
    <row r="114" spans="2:29" x14ac:dyDescent="0.3">
      <c r="B114" s="61"/>
      <c r="C114" s="114"/>
      <c r="D114" s="123" t="s">
        <v>153</v>
      </c>
      <c r="E114" s="112"/>
      <c r="F114" s="251"/>
      <c r="G114" s="112"/>
      <c r="H114" s="201">
        <v>0</v>
      </c>
      <c r="I114" s="265">
        <f t="shared" ref="I114:N114" si="57">H114</f>
        <v>0</v>
      </c>
      <c r="J114" s="265">
        <f t="shared" si="57"/>
        <v>0</v>
      </c>
      <c r="K114" s="265">
        <f t="shared" si="57"/>
        <v>0</v>
      </c>
      <c r="L114" s="265">
        <f t="shared" si="57"/>
        <v>0</v>
      </c>
      <c r="M114" s="265">
        <f t="shared" si="57"/>
        <v>0</v>
      </c>
      <c r="N114" s="265">
        <f t="shared" si="57"/>
        <v>0</v>
      </c>
      <c r="O114" s="65"/>
    </row>
    <row r="115" spans="2:29" x14ac:dyDescent="0.3">
      <c r="B115" s="61"/>
      <c r="C115" s="114"/>
      <c r="D115" s="1246" t="s">
        <v>575</v>
      </c>
      <c r="E115" s="112"/>
      <c r="F115" s="251"/>
      <c r="G115" s="112"/>
      <c r="H115" s="1271">
        <f>(dir!J26+op!J71+obp!J46)*875</f>
        <v>2625</v>
      </c>
      <c r="I115" s="1247"/>
      <c r="J115" s="1247"/>
      <c r="K115" s="1247"/>
      <c r="L115" s="1247"/>
      <c r="M115" s="1247"/>
      <c r="N115" s="1247"/>
      <c r="O115" s="65"/>
    </row>
    <row r="116" spans="2:29" x14ac:dyDescent="0.3">
      <c r="B116" s="61"/>
      <c r="C116" s="114"/>
      <c r="D116" s="1246" t="s">
        <v>575</v>
      </c>
      <c r="E116" s="112"/>
      <c r="F116" s="251"/>
      <c r="G116" s="112"/>
      <c r="H116" s="1271">
        <f>ROUND(H112/12*33%,2)</f>
        <v>5304.17</v>
      </c>
      <c r="I116" s="1247"/>
      <c r="J116" s="1247"/>
      <c r="K116" s="1247"/>
      <c r="L116" s="1247"/>
      <c r="M116" s="1247"/>
      <c r="N116" s="1247"/>
      <c r="O116" s="65"/>
    </row>
    <row r="117" spans="2:29" x14ac:dyDescent="0.3">
      <c r="B117" s="61"/>
      <c r="C117" s="114"/>
      <c r="D117" s="267"/>
      <c r="E117" s="111"/>
      <c r="F117" s="251"/>
      <c r="G117" s="111"/>
      <c r="H117" s="201">
        <v>0</v>
      </c>
      <c r="I117" s="265">
        <f t="shared" ref="I117:I135" si="58">H117</f>
        <v>0</v>
      </c>
      <c r="J117" s="265">
        <f t="shared" ref="J117:N135" si="59">I117</f>
        <v>0</v>
      </c>
      <c r="K117" s="265">
        <f t="shared" si="59"/>
        <v>0</v>
      </c>
      <c r="L117" s="265">
        <f t="shared" si="59"/>
        <v>0</v>
      </c>
      <c r="M117" s="265">
        <f t="shared" si="59"/>
        <v>0</v>
      </c>
      <c r="N117" s="265">
        <f t="shared" si="59"/>
        <v>0</v>
      </c>
      <c r="O117" s="65"/>
    </row>
    <row r="118" spans="2:29" x14ac:dyDescent="0.3">
      <c r="B118" s="61"/>
      <c r="C118" s="114"/>
      <c r="D118" s="267"/>
      <c r="E118" s="112"/>
      <c r="F118" s="251"/>
      <c r="G118" s="112"/>
      <c r="H118" s="266">
        <v>0</v>
      </c>
      <c r="I118" s="265">
        <f t="shared" si="58"/>
        <v>0</v>
      </c>
      <c r="J118" s="265">
        <f t="shared" si="59"/>
        <v>0</v>
      </c>
      <c r="K118" s="265">
        <f t="shared" si="59"/>
        <v>0</v>
      </c>
      <c r="L118" s="265">
        <f t="shared" si="59"/>
        <v>0</v>
      </c>
      <c r="M118" s="265">
        <f t="shared" si="59"/>
        <v>0</v>
      </c>
      <c r="N118" s="265">
        <f t="shared" si="59"/>
        <v>0</v>
      </c>
      <c r="O118" s="65"/>
    </row>
    <row r="119" spans="2:29" x14ac:dyDescent="0.3">
      <c r="B119" s="61"/>
      <c r="C119" s="114"/>
      <c r="D119" s="267"/>
      <c r="E119" s="112"/>
      <c r="F119" s="251"/>
      <c r="G119" s="112"/>
      <c r="H119" s="266">
        <v>0</v>
      </c>
      <c r="I119" s="265">
        <f t="shared" si="58"/>
        <v>0</v>
      </c>
      <c r="J119" s="265">
        <f t="shared" si="59"/>
        <v>0</v>
      </c>
      <c r="K119" s="265">
        <f t="shared" si="59"/>
        <v>0</v>
      </c>
      <c r="L119" s="265">
        <f t="shared" si="59"/>
        <v>0</v>
      </c>
      <c r="M119" s="265">
        <f t="shared" si="59"/>
        <v>0</v>
      </c>
      <c r="N119" s="265">
        <f t="shared" si="59"/>
        <v>0</v>
      </c>
      <c r="O119" s="65"/>
    </row>
    <row r="120" spans="2:29" x14ac:dyDescent="0.3">
      <c r="B120" s="61"/>
      <c r="C120" s="114"/>
      <c r="D120" s="267"/>
      <c r="E120" s="112"/>
      <c r="F120" s="251"/>
      <c r="G120" s="112"/>
      <c r="H120" s="266">
        <v>0</v>
      </c>
      <c r="I120" s="265">
        <f t="shared" si="58"/>
        <v>0</v>
      </c>
      <c r="J120" s="265">
        <f t="shared" si="59"/>
        <v>0</v>
      </c>
      <c r="K120" s="265">
        <f t="shared" si="59"/>
        <v>0</v>
      </c>
      <c r="L120" s="265">
        <f t="shared" si="59"/>
        <v>0</v>
      </c>
      <c r="M120" s="265">
        <f t="shared" si="59"/>
        <v>0</v>
      </c>
      <c r="N120" s="265">
        <f t="shared" si="59"/>
        <v>0</v>
      </c>
      <c r="O120" s="65"/>
    </row>
    <row r="121" spans="2:29" x14ac:dyDescent="0.3">
      <c r="B121" s="61"/>
      <c r="C121" s="114"/>
      <c r="D121" s="267"/>
      <c r="E121" s="112"/>
      <c r="F121" s="251"/>
      <c r="G121" s="112"/>
      <c r="H121" s="266">
        <v>0</v>
      </c>
      <c r="I121" s="265">
        <f t="shared" si="58"/>
        <v>0</v>
      </c>
      <c r="J121" s="265">
        <f t="shared" si="59"/>
        <v>0</v>
      </c>
      <c r="K121" s="265">
        <f t="shared" si="59"/>
        <v>0</v>
      </c>
      <c r="L121" s="265">
        <f t="shared" si="59"/>
        <v>0</v>
      </c>
      <c r="M121" s="265">
        <f t="shared" si="59"/>
        <v>0</v>
      </c>
      <c r="N121" s="265">
        <f t="shared" si="59"/>
        <v>0</v>
      </c>
      <c r="O121" s="65"/>
    </row>
    <row r="122" spans="2:29" x14ac:dyDescent="0.3">
      <c r="B122" s="61"/>
      <c r="C122" s="114"/>
      <c r="D122" s="267"/>
      <c r="E122" s="112"/>
      <c r="F122" s="251"/>
      <c r="G122" s="112"/>
      <c r="H122" s="266">
        <v>0</v>
      </c>
      <c r="I122" s="265">
        <f t="shared" si="58"/>
        <v>0</v>
      </c>
      <c r="J122" s="265">
        <f t="shared" si="59"/>
        <v>0</v>
      </c>
      <c r="K122" s="265">
        <f t="shared" si="59"/>
        <v>0</v>
      </c>
      <c r="L122" s="265">
        <f t="shared" si="59"/>
        <v>0</v>
      </c>
      <c r="M122" s="265">
        <f t="shared" si="59"/>
        <v>0</v>
      </c>
      <c r="N122" s="265">
        <f t="shared" si="59"/>
        <v>0</v>
      </c>
      <c r="O122" s="65"/>
    </row>
    <row r="123" spans="2:29" x14ac:dyDescent="0.3">
      <c r="B123" s="61"/>
      <c r="C123" s="114"/>
      <c r="D123" s="267"/>
      <c r="E123" s="112"/>
      <c r="F123" s="251"/>
      <c r="G123" s="112"/>
      <c r="H123" s="266">
        <v>0</v>
      </c>
      <c r="I123" s="265">
        <f t="shared" si="58"/>
        <v>0</v>
      </c>
      <c r="J123" s="265">
        <f t="shared" si="59"/>
        <v>0</v>
      </c>
      <c r="K123" s="265">
        <f t="shared" si="59"/>
        <v>0</v>
      </c>
      <c r="L123" s="265">
        <f t="shared" si="59"/>
        <v>0</v>
      </c>
      <c r="M123" s="265">
        <f t="shared" si="59"/>
        <v>0</v>
      </c>
      <c r="N123" s="265">
        <f t="shared" si="59"/>
        <v>0</v>
      </c>
      <c r="O123" s="65"/>
    </row>
    <row r="124" spans="2:29" x14ac:dyDescent="0.3">
      <c r="B124" s="61"/>
      <c r="C124" s="114"/>
      <c r="D124" s="267"/>
      <c r="E124" s="112"/>
      <c r="F124" s="251"/>
      <c r="G124" s="112"/>
      <c r="H124" s="266">
        <v>0</v>
      </c>
      <c r="I124" s="265">
        <f t="shared" si="58"/>
        <v>0</v>
      </c>
      <c r="J124" s="265">
        <f t="shared" si="59"/>
        <v>0</v>
      </c>
      <c r="K124" s="265">
        <f t="shared" si="59"/>
        <v>0</v>
      </c>
      <c r="L124" s="265">
        <f t="shared" si="59"/>
        <v>0</v>
      </c>
      <c r="M124" s="265">
        <f t="shared" si="59"/>
        <v>0</v>
      </c>
      <c r="N124" s="265">
        <f t="shared" si="59"/>
        <v>0</v>
      </c>
      <c r="O124" s="65"/>
    </row>
    <row r="125" spans="2:29" x14ac:dyDescent="0.3">
      <c r="B125" s="61"/>
      <c r="C125" s="114"/>
      <c r="D125" s="267"/>
      <c r="E125" s="112"/>
      <c r="F125" s="251"/>
      <c r="G125" s="112"/>
      <c r="H125" s="266">
        <v>0</v>
      </c>
      <c r="I125" s="265">
        <f t="shared" si="58"/>
        <v>0</v>
      </c>
      <c r="J125" s="265">
        <f t="shared" si="59"/>
        <v>0</v>
      </c>
      <c r="K125" s="265">
        <f t="shared" si="59"/>
        <v>0</v>
      </c>
      <c r="L125" s="265">
        <f t="shared" si="59"/>
        <v>0</v>
      </c>
      <c r="M125" s="265">
        <f t="shared" si="59"/>
        <v>0</v>
      </c>
      <c r="N125" s="265">
        <f t="shared" si="59"/>
        <v>0</v>
      </c>
      <c r="O125" s="65"/>
    </row>
    <row r="126" spans="2:29" x14ac:dyDescent="0.3">
      <c r="B126" s="61"/>
      <c r="C126" s="114"/>
      <c r="D126" s="267"/>
      <c r="E126" s="112"/>
      <c r="F126" s="251"/>
      <c r="G126" s="112"/>
      <c r="H126" s="266">
        <v>0</v>
      </c>
      <c r="I126" s="265">
        <f t="shared" si="58"/>
        <v>0</v>
      </c>
      <c r="J126" s="265">
        <f t="shared" si="59"/>
        <v>0</v>
      </c>
      <c r="K126" s="265">
        <f t="shared" si="59"/>
        <v>0</v>
      </c>
      <c r="L126" s="265">
        <f t="shared" si="59"/>
        <v>0</v>
      </c>
      <c r="M126" s="265">
        <f t="shared" si="59"/>
        <v>0</v>
      </c>
      <c r="N126" s="265">
        <f t="shared" si="59"/>
        <v>0</v>
      </c>
      <c r="O126" s="65"/>
    </row>
    <row r="127" spans="2:29" x14ac:dyDescent="0.3">
      <c r="B127" s="61"/>
      <c r="C127" s="114"/>
      <c r="D127" s="267"/>
      <c r="E127" s="112"/>
      <c r="F127" s="251"/>
      <c r="G127" s="112"/>
      <c r="H127" s="266">
        <v>0</v>
      </c>
      <c r="I127" s="265">
        <f t="shared" si="58"/>
        <v>0</v>
      </c>
      <c r="J127" s="265">
        <f t="shared" si="59"/>
        <v>0</v>
      </c>
      <c r="K127" s="265">
        <f t="shared" si="59"/>
        <v>0</v>
      </c>
      <c r="L127" s="265">
        <f t="shared" si="59"/>
        <v>0</v>
      </c>
      <c r="M127" s="265">
        <f t="shared" si="59"/>
        <v>0</v>
      </c>
      <c r="N127" s="265">
        <f t="shared" si="59"/>
        <v>0</v>
      </c>
      <c r="O127" s="65"/>
    </row>
    <row r="128" spans="2:29" x14ac:dyDescent="0.3">
      <c r="B128" s="61"/>
      <c r="C128" s="114"/>
      <c r="D128" s="267"/>
      <c r="E128" s="112"/>
      <c r="F128" s="251"/>
      <c r="G128" s="112"/>
      <c r="H128" s="266">
        <v>0</v>
      </c>
      <c r="I128" s="265">
        <f t="shared" si="58"/>
        <v>0</v>
      </c>
      <c r="J128" s="265">
        <f t="shared" si="59"/>
        <v>0</v>
      </c>
      <c r="K128" s="265">
        <f t="shared" si="59"/>
        <v>0</v>
      </c>
      <c r="L128" s="265">
        <f t="shared" si="59"/>
        <v>0</v>
      </c>
      <c r="M128" s="265">
        <f t="shared" si="59"/>
        <v>0</v>
      </c>
      <c r="N128" s="265">
        <f t="shared" si="59"/>
        <v>0</v>
      </c>
      <c r="O128" s="65"/>
    </row>
    <row r="129" spans="2:15" x14ac:dyDescent="0.3">
      <c r="B129" s="61"/>
      <c r="C129" s="114"/>
      <c r="D129" s="267"/>
      <c r="E129" s="112"/>
      <c r="F129" s="251"/>
      <c r="G129" s="112"/>
      <c r="H129" s="266">
        <v>0</v>
      </c>
      <c r="I129" s="265">
        <f t="shared" si="58"/>
        <v>0</v>
      </c>
      <c r="J129" s="265">
        <f t="shared" si="59"/>
        <v>0</v>
      </c>
      <c r="K129" s="265">
        <f t="shared" si="59"/>
        <v>0</v>
      </c>
      <c r="L129" s="265">
        <f t="shared" si="59"/>
        <v>0</v>
      </c>
      <c r="M129" s="265">
        <f t="shared" si="59"/>
        <v>0</v>
      </c>
      <c r="N129" s="265">
        <f t="shared" si="59"/>
        <v>0</v>
      </c>
      <c r="O129" s="65"/>
    </row>
    <row r="130" spans="2:15" x14ac:dyDescent="0.3">
      <c r="B130" s="61"/>
      <c r="C130" s="114"/>
      <c r="D130" s="267"/>
      <c r="E130" s="112"/>
      <c r="F130" s="251"/>
      <c r="G130" s="112"/>
      <c r="H130" s="266">
        <v>0</v>
      </c>
      <c r="I130" s="265">
        <f t="shared" si="58"/>
        <v>0</v>
      </c>
      <c r="J130" s="265">
        <f t="shared" si="59"/>
        <v>0</v>
      </c>
      <c r="K130" s="265">
        <f t="shared" si="59"/>
        <v>0</v>
      </c>
      <c r="L130" s="265">
        <f t="shared" si="59"/>
        <v>0</v>
      </c>
      <c r="M130" s="265">
        <f t="shared" si="59"/>
        <v>0</v>
      </c>
      <c r="N130" s="265">
        <f t="shared" si="59"/>
        <v>0</v>
      </c>
      <c r="O130" s="65"/>
    </row>
    <row r="131" spans="2:15" x14ac:dyDescent="0.3">
      <c r="B131" s="61"/>
      <c r="C131" s="114"/>
      <c r="D131" s="267"/>
      <c r="E131" s="112"/>
      <c r="F131" s="251"/>
      <c r="G131" s="112"/>
      <c r="H131" s="266">
        <v>0</v>
      </c>
      <c r="I131" s="265">
        <f t="shared" si="58"/>
        <v>0</v>
      </c>
      <c r="J131" s="265">
        <f t="shared" si="59"/>
        <v>0</v>
      </c>
      <c r="K131" s="265">
        <f t="shared" si="59"/>
        <v>0</v>
      </c>
      <c r="L131" s="265">
        <f t="shared" si="59"/>
        <v>0</v>
      </c>
      <c r="M131" s="265">
        <f t="shared" si="59"/>
        <v>0</v>
      </c>
      <c r="N131" s="265">
        <f t="shared" si="59"/>
        <v>0</v>
      </c>
      <c r="O131" s="65"/>
    </row>
    <row r="132" spans="2:15" x14ac:dyDescent="0.3">
      <c r="B132" s="61"/>
      <c r="C132" s="114"/>
      <c r="D132" s="267"/>
      <c r="E132" s="112"/>
      <c r="F132" s="251"/>
      <c r="G132" s="112"/>
      <c r="H132" s="266">
        <v>0</v>
      </c>
      <c r="I132" s="265">
        <f t="shared" si="58"/>
        <v>0</v>
      </c>
      <c r="J132" s="265">
        <f t="shared" si="59"/>
        <v>0</v>
      </c>
      <c r="K132" s="265">
        <f t="shared" si="59"/>
        <v>0</v>
      </c>
      <c r="L132" s="265">
        <f t="shared" si="59"/>
        <v>0</v>
      </c>
      <c r="M132" s="265">
        <f t="shared" si="59"/>
        <v>0</v>
      </c>
      <c r="N132" s="265">
        <f t="shared" si="59"/>
        <v>0</v>
      </c>
      <c r="O132" s="65"/>
    </row>
    <row r="133" spans="2:15" x14ac:dyDescent="0.3">
      <c r="B133" s="61"/>
      <c r="C133" s="114"/>
      <c r="D133" s="267"/>
      <c r="E133" s="112"/>
      <c r="F133" s="251"/>
      <c r="G133" s="112"/>
      <c r="H133" s="266">
        <v>0</v>
      </c>
      <c r="I133" s="265">
        <f t="shared" si="58"/>
        <v>0</v>
      </c>
      <c r="J133" s="265">
        <f t="shared" si="59"/>
        <v>0</v>
      </c>
      <c r="K133" s="265">
        <f t="shared" si="59"/>
        <v>0</v>
      </c>
      <c r="L133" s="265">
        <f t="shared" si="59"/>
        <v>0</v>
      </c>
      <c r="M133" s="265">
        <f t="shared" si="59"/>
        <v>0</v>
      </c>
      <c r="N133" s="265">
        <f t="shared" si="59"/>
        <v>0</v>
      </c>
      <c r="O133" s="65"/>
    </row>
    <row r="134" spans="2:15" x14ac:dyDescent="0.3">
      <c r="B134" s="61"/>
      <c r="C134" s="114"/>
      <c r="D134" s="267"/>
      <c r="E134" s="112"/>
      <c r="F134" s="251"/>
      <c r="G134" s="112"/>
      <c r="H134" s="266">
        <v>0</v>
      </c>
      <c r="I134" s="265">
        <f t="shared" si="58"/>
        <v>0</v>
      </c>
      <c r="J134" s="265">
        <f t="shared" si="59"/>
        <v>0</v>
      </c>
      <c r="K134" s="265">
        <f t="shared" si="59"/>
        <v>0</v>
      </c>
      <c r="L134" s="265">
        <f t="shared" si="59"/>
        <v>0</v>
      </c>
      <c r="M134" s="265">
        <f t="shared" si="59"/>
        <v>0</v>
      </c>
      <c r="N134" s="265">
        <f t="shared" si="59"/>
        <v>0</v>
      </c>
      <c r="O134" s="65"/>
    </row>
    <row r="135" spans="2:15" x14ac:dyDescent="0.3">
      <c r="B135" s="61"/>
      <c r="C135" s="114"/>
      <c r="D135" s="267"/>
      <c r="E135" s="112"/>
      <c r="F135" s="251"/>
      <c r="G135" s="112"/>
      <c r="H135" s="266">
        <v>0</v>
      </c>
      <c r="I135" s="265">
        <f t="shared" si="58"/>
        <v>0</v>
      </c>
      <c r="J135" s="265">
        <f t="shared" si="59"/>
        <v>0</v>
      </c>
      <c r="K135" s="265">
        <f t="shared" si="59"/>
        <v>0</v>
      </c>
      <c r="L135" s="265">
        <f t="shared" si="59"/>
        <v>0</v>
      </c>
      <c r="M135" s="265">
        <f t="shared" si="59"/>
        <v>0</v>
      </c>
      <c r="N135" s="265">
        <f t="shared" si="59"/>
        <v>0</v>
      </c>
      <c r="O135" s="65"/>
    </row>
    <row r="136" spans="2:15" x14ac:dyDescent="0.3">
      <c r="B136" s="61"/>
      <c r="C136" s="114"/>
      <c r="D136" s="245"/>
      <c r="E136" s="246"/>
      <c r="F136" s="247"/>
      <c r="G136" s="246"/>
      <c r="H136" s="893">
        <f t="shared" ref="H136:L136" si="60">SUM(H114:H134)</f>
        <v>7929.17</v>
      </c>
      <c r="I136" s="893">
        <f t="shared" si="60"/>
        <v>0</v>
      </c>
      <c r="J136" s="893">
        <f t="shared" si="60"/>
        <v>0</v>
      </c>
      <c r="K136" s="893">
        <f t="shared" si="60"/>
        <v>0</v>
      </c>
      <c r="L136" s="893">
        <f t="shared" si="60"/>
        <v>0</v>
      </c>
      <c r="M136" s="893">
        <f t="shared" ref="M136:N136" si="61">SUM(M114:M134)</f>
        <v>0</v>
      </c>
      <c r="N136" s="893">
        <f t="shared" si="61"/>
        <v>0</v>
      </c>
      <c r="O136" s="65"/>
    </row>
    <row r="137" spans="2:15" x14ac:dyDescent="0.3">
      <c r="B137" s="61"/>
      <c r="C137" s="114"/>
      <c r="D137" s="112"/>
      <c r="E137" s="112"/>
      <c r="F137" s="112"/>
      <c r="G137" s="112"/>
      <c r="H137" s="115"/>
      <c r="I137" s="115"/>
      <c r="J137" s="115"/>
      <c r="K137" s="115"/>
      <c r="L137" s="115"/>
      <c r="M137" s="115"/>
      <c r="N137" s="115"/>
      <c r="O137" s="65"/>
    </row>
    <row r="138" spans="2:15" x14ac:dyDescent="0.3">
      <c r="B138" s="61"/>
      <c r="C138" s="114"/>
      <c r="D138" s="118" t="s">
        <v>89</v>
      </c>
      <c r="E138" s="112"/>
      <c r="F138" s="112"/>
      <c r="G138" s="112"/>
      <c r="H138" s="894">
        <f t="shared" ref="H138:L138" si="62">H112+H136</f>
        <v>200808.07381193491</v>
      </c>
      <c r="I138" s="894">
        <f t="shared" si="62"/>
        <v>204869.17685352621</v>
      </c>
      <c r="J138" s="894">
        <f t="shared" si="62"/>
        <v>212232.78119349008</v>
      </c>
      <c r="K138" s="894">
        <f t="shared" si="62"/>
        <v>218316.87233273059</v>
      </c>
      <c r="L138" s="894">
        <f t="shared" si="62"/>
        <v>224531.02350813744</v>
      </c>
      <c r="M138" s="894">
        <f t="shared" ref="M138:N138" si="63">M112+M136</f>
        <v>230569.1197106691</v>
      </c>
      <c r="N138" s="894">
        <f t="shared" si="63"/>
        <v>233068.99095840869</v>
      </c>
      <c r="O138" s="65"/>
    </row>
    <row r="139" spans="2:15" x14ac:dyDescent="0.3">
      <c r="B139" s="61"/>
      <c r="C139" s="169"/>
      <c r="D139" s="121"/>
      <c r="E139" s="121"/>
      <c r="F139" s="121"/>
      <c r="G139" s="121"/>
      <c r="H139" s="250"/>
      <c r="I139" s="250"/>
      <c r="J139" s="250"/>
      <c r="K139" s="250"/>
      <c r="L139" s="250"/>
      <c r="M139" s="250"/>
      <c r="N139" s="250"/>
      <c r="O139" s="65"/>
    </row>
    <row r="140" spans="2:15" x14ac:dyDescent="0.3">
      <c r="B140" s="61"/>
      <c r="C140" s="62"/>
      <c r="D140" s="62"/>
      <c r="E140" s="62"/>
      <c r="F140" s="62"/>
      <c r="G140" s="62"/>
      <c r="H140" s="78"/>
      <c r="I140" s="78"/>
      <c r="J140" s="78"/>
      <c r="K140" s="78"/>
      <c r="L140" s="78"/>
      <c r="M140" s="78"/>
      <c r="N140" s="78"/>
      <c r="O140" s="65"/>
    </row>
    <row r="141" spans="2:15" x14ac:dyDescent="0.3">
      <c r="B141" s="61"/>
      <c r="C141" s="62"/>
      <c r="D141" s="62"/>
      <c r="E141" s="62"/>
      <c r="F141" s="62"/>
      <c r="G141" s="62"/>
      <c r="H141" s="78"/>
      <c r="I141" s="78"/>
      <c r="J141" s="78"/>
      <c r="K141" s="78"/>
      <c r="L141" s="78"/>
      <c r="M141" s="78"/>
      <c r="N141" s="78"/>
      <c r="O141" s="65"/>
    </row>
    <row r="142" spans="2:15" x14ac:dyDescent="0.3">
      <c r="B142" s="61"/>
      <c r="C142" s="163"/>
      <c r="D142" s="263"/>
      <c r="E142" s="263"/>
      <c r="F142" s="263"/>
      <c r="G142" s="263"/>
      <c r="H142" s="264"/>
      <c r="I142" s="264"/>
      <c r="J142" s="264"/>
      <c r="K142" s="264"/>
      <c r="L142" s="264"/>
      <c r="M142" s="264"/>
      <c r="N142" s="264"/>
      <c r="O142" s="65"/>
    </row>
    <row r="143" spans="2:15" x14ac:dyDescent="0.3">
      <c r="B143" s="61"/>
      <c r="C143" s="114"/>
      <c r="D143" s="245" t="s">
        <v>87</v>
      </c>
      <c r="E143" s="245"/>
      <c r="F143" s="245"/>
      <c r="G143" s="245"/>
      <c r="H143" s="893">
        <f t="shared" ref="H143:L143" si="64">H101-H138</f>
        <v>1554283.649620065</v>
      </c>
      <c r="I143" s="893">
        <f t="shared" si="64"/>
        <v>1361196.6919048738</v>
      </c>
      <c r="J143" s="893">
        <f t="shared" si="64"/>
        <v>1251588.1661865099</v>
      </c>
      <c r="K143" s="893">
        <f t="shared" si="64"/>
        <v>1257462.3059872694</v>
      </c>
      <c r="L143" s="893">
        <f t="shared" si="64"/>
        <v>1263206.3857518625</v>
      </c>
      <c r="M143" s="893">
        <f t="shared" ref="M143:N143" si="65">M101-M138</f>
        <v>1269126.5204893306</v>
      </c>
      <c r="N143" s="893">
        <f t="shared" si="65"/>
        <v>1266626.6492415911</v>
      </c>
      <c r="O143" s="65"/>
    </row>
    <row r="144" spans="2:15" x14ac:dyDescent="0.3">
      <c r="B144" s="61"/>
      <c r="C144" s="169"/>
      <c r="D144" s="121"/>
      <c r="E144" s="121"/>
      <c r="F144" s="121"/>
      <c r="G144" s="121"/>
      <c r="H144" s="250"/>
      <c r="I144" s="250"/>
      <c r="J144" s="250"/>
      <c r="K144" s="250"/>
      <c r="L144" s="250"/>
      <c r="M144" s="250"/>
      <c r="N144" s="250"/>
      <c r="O144" s="65"/>
    </row>
    <row r="145" spans="2:32" x14ac:dyDescent="0.3">
      <c r="B145" s="61"/>
      <c r="C145" s="62"/>
      <c r="D145" s="62"/>
      <c r="E145" s="62"/>
      <c r="F145" s="62"/>
      <c r="G145" s="62"/>
      <c r="H145" s="78"/>
      <c r="I145" s="78"/>
      <c r="J145" s="78"/>
      <c r="K145" s="78"/>
      <c r="L145" s="78"/>
      <c r="M145" s="78"/>
      <c r="N145" s="78"/>
      <c r="O145" s="65"/>
    </row>
    <row r="146" spans="2:32" ht="13.5" customHeight="1" x14ac:dyDescent="0.3">
      <c r="B146" s="80"/>
      <c r="C146" s="81"/>
      <c r="D146" s="192"/>
      <c r="E146" s="192"/>
      <c r="F146" s="192"/>
      <c r="G146" s="192"/>
      <c r="H146" s="193"/>
      <c r="I146" s="193"/>
      <c r="J146" s="193"/>
      <c r="K146" s="193"/>
      <c r="L146" s="193"/>
      <c r="M146" s="193"/>
      <c r="N146" s="193"/>
      <c r="O146" s="84"/>
    </row>
    <row r="147" spans="2:32" ht="13.5" customHeight="1" x14ac:dyDescent="0.3">
      <c r="B147" s="8"/>
      <c r="C147" s="8"/>
      <c r="D147" s="177"/>
      <c r="E147" s="177"/>
      <c r="F147" s="177"/>
      <c r="G147" s="177"/>
      <c r="H147" s="178"/>
      <c r="I147" s="178"/>
      <c r="J147" s="178"/>
      <c r="K147" s="178"/>
      <c r="L147" s="179"/>
      <c r="M147" s="179"/>
      <c r="N147" s="179"/>
      <c r="O147" s="8"/>
    </row>
    <row r="148" spans="2:32" ht="13.5" customHeight="1" x14ac:dyDescent="0.3">
      <c r="B148" s="8"/>
      <c r="C148" s="8"/>
      <c r="D148" s="177"/>
      <c r="E148" s="177"/>
      <c r="F148" s="177"/>
      <c r="G148" s="177"/>
      <c r="H148" s="178"/>
      <c r="I148" s="178"/>
      <c r="J148" s="178"/>
      <c r="K148" s="178"/>
      <c r="L148" s="179"/>
      <c r="M148" s="179"/>
      <c r="N148" s="179"/>
      <c r="O148" s="8"/>
    </row>
    <row r="149" spans="2:32" ht="13.5" customHeight="1" x14ac:dyDescent="0.3">
      <c r="B149" s="8"/>
      <c r="C149" s="8"/>
      <c r="D149" s="177"/>
      <c r="E149" s="177"/>
      <c r="F149" s="177"/>
      <c r="G149" s="177"/>
      <c r="H149" s="178"/>
      <c r="I149" s="178"/>
      <c r="J149" s="178"/>
      <c r="K149" s="178"/>
      <c r="L149" s="179"/>
      <c r="M149" s="179"/>
      <c r="N149" s="179"/>
      <c r="O149" s="8"/>
    </row>
    <row r="150" spans="2:32" ht="13.5" customHeight="1" x14ac:dyDescent="0.3">
      <c r="B150" s="8"/>
      <c r="C150" s="8"/>
      <c r="D150" s="177"/>
      <c r="E150" s="177"/>
      <c r="F150" s="177"/>
      <c r="G150" s="177"/>
      <c r="H150" s="178"/>
      <c r="I150" s="178"/>
      <c r="J150" s="178"/>
      <c r="K150" s="178"/>
      <c r="L150" s="179"/>
      <c r="M150" s="179"/>
      <c r="N150" s="179"/>
      <c r="O150" s="8"/>
    </row>
    <row r="151" spans="2:32" ht="13.5" customHeight="1" x14ac:dyDescent="0.3">
      <c r="B151" s="8"/>
      <c r="C151" s="8"/>
      <c r="D151" s="177"/>
      <c r="E151" s="177"/>
      <c r="F151" s="177"/>
      <c r="G151" s="177"/>
      <c r="H151" s="178"/>
      <c r="I151" s="178"/>
      <c r="J151" s="178"/>
      <c r="K151" s="178"/>
      <c r="L151" s="179"/>
      <c r="M151" s="179"/>
      <c r="N151" s="179"/>
      <c r="O151" s="8"/>
    </row>
    <row r="152" spans="2:32" ht="12.75" customHeight="1" x14ac:dyDescent="0.3">
      <c r="B152" s="11"/>
      <c r="C152" s="11"/>
      <c r="D152" s="875" t="s">
        <v>209</v>
      </c>
      <c r="E152" s="875"/>
      <c r="F152" s="875"/>
      <c r="G152" s="875"/>
      <c r="H152" s="885"/>
      <c r="I152" s="886">
        <f>J9</f>
        <v>2021</v>
      </c>
      <c r="J152" s="886">
        <f>I152+1</f>
        <v>2022</v>
      </c>
      <c r="K152" s="886">
        <f>J152+1</f>
        <v>2023</v>
      </c>
      <c r="L152" s="886">
        <f>K152+1</f>
        <v>2024</v>
      </c>
      <c r="M152" s="886">
        <f>L152+1</f>
        <v>2025</v>
      </c>
      <c r="N152" s="886">
        <f>M152+1</f>
        <v>2026</v>
      </c>
      <c r="O152" s="180"/>
      <c r="AD152" s="19"/>
      <c r="AE152" s="19"/>
      <c r="AF152" s="19"/>
    </row>
    <row r="153" spans="2:32" x14ac:dyDescent="0.3">
      <c r="D153" s="887" t="s">
        <v>90</v>
      </c>
      <c r="E153" s="888"/>
      <c r="F153" s="888"/>
      <c r="G153" s="888"/>
      <c r="H153" s="889"/>
      <c r="I153" s="890">
        <f>7/12*(H64-H31)+5/12*(I64-I32)+I32</f>
        <v>1676330.9506513334</v>
      </c>
      <c r="J153" s="890">
        <f>7/12*I64+5/12*J64</f>
        <v>1523463.8181840668</v>
      </c>
      <c r="K153" s="890">
        <f>7/12*J64+5/12*K64</f>
        <v>1468803.5436050002</v>
      </c>
      <c r="L153" s="890">
        <f>7/12*K64+5/12*L64</f>
        <v>1480761.7745449999</v>
      </c>
      <c r="M153" s="890">
        <f>7/12*L64+5/12*M64</f>
        <v>1492720.0054849999</v>
      </c>
      <c r="N153" s="890">
        <f>7/12*M64+5/12*N64</f>
        <v>1499695.6401999998</v>
      </c>
    </row>
    <row r="154" spans="2:32" x14ac:dyDescent="0.3">
      <c r="D154" s="887" t="s">
        <v>84</v>
      </c>
      <c r="E154" s="888"/>
      <c r="F154" s="888"/>
      <c r="G154" s="888"/>
      <c r="H154" s="889"/>
      <c r="I154" s="890">
        <f t="shared" ref="I154:N154" si="66">(7/12*H77)+(5/12*I77)</f>
        <v>0</v>
      </c>
      <c r="J154" s="890">
        <f t="shared" si="66"/>
        <v>0</v>
      </c>
      <c r="K154" s="890">
        <f t="shared" si="66"/>
        <v>0</v>
      </c>
      <c r="L154" s="890">
        <f t="shared" si="66"/>
        <v>0</v>
      </c>
      <c r="M154" s="890">
        <f t="shared" si="66"/>
        <v>0</v>
      </c>
      <c r="N154" s="890">
        <f t="shared" si="66"/>
        <v>0</v>
      </c>
    </row>
    <row r="155" spans="2:32" x14ac:dyDescent="0.3">
      <c r="D155" s="887" t="s">
        <v>91</v>
      </c>
      <c r="E155" s="888"/>
      <c r="F155" s="888"/>
      <c r="G155" s="888"/>
      <c r="H155" s="889"/>
      <c r="I155" s="890">
        <f t="shared" ref="I155:N157" si="67">(7/12*H88)+(5/12*I88)</f>
        <v>0</v>
      </c>
      <c r="J155" s="890">
        <f t="shared" si="67"/>
        <v>0</v>
      </c>
      <c r="K155" s="890">
        <f t="shared" si="67"/>
        <v>0</v>
      </c>
      <c r="L155" s="890">
        <f t="shared" si="67"/>
        <v>0</v>
      </c>
      <c r="M155" s="890">
        <f t="shared" si="67"/>
        <v>0</v>
      </c>
      <c r="N155" s="890">
        <f t="shared" si="67"/>
        <v>0</v>
      </c>
    </row>
    <row r="156" spans="2:32" x14ac:dyDescent="0.3">
      <c r="D156" s="887" t="s">
        <v>10</v>
      </c>
      <c r="E156" s="888"/>
      <c r="F156" s="888"/>
      <c r="G156" s="888"/>
      <c r="H156" s="889"/>
      <c r="I156" s="890">
        <f t="shared" si="67"/>
        <v>0</v>
      </c>
      <c r="J156" s="890">
        <f t="shared" si="67"/>
        <v>0</v>
      </c>
      <c r="K156" s="890">
        <f t="shared" si="67"/>
        <v>0</v>
      </c>
      <c r="L156" s="890">
        <f t="shared" si="67"/>
        <v>0</v>
      </c>
      <c r="M156" s="890">
        <f t="shared" si="67"/>
        <v>0</v>
      </c>
      <c r="N156" s="890">
        <f t="shared" si="67"/>
        <v>0</v>
      </c>
    </row>
    <row r="157" spans="2:32" x14ac:dyDescent="0.3">
      <c r="D157" s="887" t="s">
        <v>11</v>
      </c>
      <c r="E157" s="888"/>
      <c r="F157" s="888"/>
      <c r="G157" s="888"/>
      <c r="H157" s="889"/>
      <c r="I157" s="890">
        <f t="shared" si="67"/>
        <v>0</v>
      </c>
      <c r="J157" s="890">
        <f t="shared" si="67"/>
        <v>0</v>
      </c>
      <c r="K157" s="890">
        <f t="shared" si="67"/>
        <v>0</v>
      </c>
      <c r="L157" s="890">
        <f t="shared" si="67"/>
        <v>0</v>
      </c>
      <c r="M157" s="890">
        <f t="shared" si="67"/>
        <v>0</v>
      </c>
      <c r="N157" s="890">
        <f t="shared" si="67"/>
        <v>0</v>
      </c>
    </row>
    <row r="158" spans="2:32" x14ac:dyDescent="0.3">
      <c r="D158" s="887" t="s">
        <v>242</v>
      </c>
      <c r="E158" s="888"/>
      <c r="F158" s="888"/>
      <c r="G158" s="888"/>
      <c r="H158" s="889"/>
      <c r="I158" s="890">
        <f t="shared" ref="I158:N158" si="68">(7/12*H97)+(5/12*I97)-I155</f>
        <v>0</v>
      </c>
      <c r="J158" s="890">
        <f t="shared" si="68"/>
        <v>0</v>
      </c>
      <c r="K158" s="890">
        <f t="shared" si="68"/>
        <v>0</v>
      </c>
      <c r="L158" s="890">
        <f t="shared" si="68"/>
        <v>0</v>
      </c>
      <c r="M158" s="890">
        <f t="shared" si="68"/>
        <v>0</v>
      </c>
      <c r="N158" s="890">
        <f t="shared" si="68"/>
        <v>0</v>
      </c>
    </row>
    <row r="159" spans="2:32" x14ac:dyDescent="0.3">
      <c r="D159" s="887" t="s">
        <v>92</v>
      </c>
      <c r="E159" s="888"/>
      <c r="F159" s="888"/>
      <c r="G159" s="888"/>
      <c r="H159" s="889"/>
      <c r="I159" s="890">
        <f t="shared" ref="I159:N159" si="69">(7/12*H61)+(5/12*I61)</f>
        <v>0</v>
      </c>
      <c r="J159" s="890">
        <f t="shared" si="69"/>
        <v>0</v>
      </c>
      <c r="K159" s="890">
        <f t="shared" si="69"/>
        <v>0</v>
      </c>
      <c r="L159" s="890">
        <f t="shared" si="69"/>
        <v>0</v>
      </c>
      <c r="M159" s="890">
        <f t="shared" si="69"/>
        <v>0</v>
      </c>
      <c r="N159" s="890">
        <f t="shared" si="69"/>
        <v>0</v>
      </c>
    </row>
    <row r="160" spans="2:32" x14ac:dyDescent="0.3">
      <c r="D160" s="887" t="s">
        <v>203</v>
      </c>
      <c r="E160" s="888"/>
      <c r="F160" s="888"/>
      <c r="G160" s="888"/>
      <c r="H160" s="889"/>
      <c r="I160" s="891">
        <f t="shared" ref="I160:N162" si="70">(7/12*H109)+(5/12*I109)</f>
        <v>66887.154912597951</v>
      </c>
      <c r="J160" s="891">
        <f t="shared" si="70"/>
        <v>70850.945328511167</v>
      </c>
      <c r="K160" s="891">
        <f t="shared" si="70"/>
        <v>73465.419168173597</v>
      </c>
      <c r="L160" s="891">
        <f t="shared" si="70"/>
        <v>75778.101989150091</v>
      </c>
      <c r="M160" s="891">
        <f t="shared" si="70"/>
        <v>78155.696925858952</v>
      </c>
      <c r="N160" s="891">
        <f t="shared" si="70"/>
        <v>80602.732730560587</v>
      </c>
    </row>
    <row r="161" spans="4:14" x14ac:dyDescent="0.3">
      <c r="D161" s="887" t="s">
        <v>202</v>
      </c>
      <c r="E161" s="888"/>
      <c r="F161" s="888"/>
      <c r="G161" s="888"/>
      <c r="H161" s="889"/>
      <c r="I161" s="891">
        <f t="shared" si="70"/>
        <v>72085.296000000002</v>
      </c>
      <c r="J161" s="891">
        <f t="shared" si="70"/>
        <v>76155.199999999983</v>
      </c>
      <c r="K161" s="891">
        <f t="shared" si="70"/>
        <v>79144</v>
      </c>
      <c r="L161" s="891">
        <f t="shared" si="70"/>
        <v>81822.399999999994</v>
      </c>
      <c r="M161" s="891">
        <f t="shared" si="70"/>
        <v>84936</v>
      </c>
      <c r="N161" s="891">
        <f t="shared" si="70"/>
        <v>87052.800000000003</v>
      </c>
    </row>
    <row r="162" spans="4:14" x14ac:dyDescent="0.3">
      <c r="D162" s="887" t="s">
        <v>451</v>
      </c>
      <c r="E162" s="888"/>
      <c r="F162" s="888"/>
      <c r="G162" s="888"/>
      <c r="H162" s="889"/>
      <c r="I162" s="891">
        <f t="shared" si="70"/>
        <v>58902.400000000009</v>
      </c>
      <c r="J162" s="891">
        <f t="shared" si="70"/>
        <v>60931.200000000012</v>
      </c>
      <c r="K162" s="891">
        <f t="shared" si="70"/>
        <v>62158.400000000009</v>
      </c>
      <c r="L162" s="891">
        <f t="shared" si="70"/>
        <v>63305.600000000013</v>
      </c>
      <c r="M162" s="891">
        <f t="shared" si="70"/>
        <v>63955.200000000019</v>
      </c>
      <c r="N162" s="891">
        <f t="shared" si="70"/>
        <v>63955.200000000019</v>
      </c>
    </row>
    <row r="163" spans="4:14" x14ac:dyDescent="0.3">
      <c r="D163" s="887" t="s">
        <v>93</v>
      </c>
      <c r="E163" s="888"/>
      <c r="F163" s="888"/>
      <c r="G163" s="888"/>
      <c r="H163" s="889"/>
      <c r="I163" s="891">
        <f t="shared" ref="I163:N163" si="71">(7/12*H112)+(5/12*I112)</f>
        <v>197874.85091259796</v>
      </c>
      <c r="J163" s="891">
        <f t="shared" si="71"/>
        <v>207937.34532851118</v>
      </c>
      <c r="K163" s="891">
        <f t="shared" si="71"/>
        <v>214767.81916817365</v>
      </c>
      <c r="L163" s="891">
        <f t="shared" si="71"/>
        <v>220906.10198915013</v>
      </c>
      <c r="M163" s="891">
        <f t="shared" si="71"/>
        <v>227046.89692585898</v>
      </c>
      <c r="N163" s="891">
        <f t="shared" si="71"/>
        <v>231610.73273056059</v>
      </c>
    </row>
    <row r="164" spans="4:14" x14ac:dyDescent="0.3">
      <c r="D164" s="887" t="s">
        <v>94</v>
      </c>
      <c r="E164" s="888"/>
      <c r="F164" s="888"/>
      <c r="G164" s="888"/>
      <c r="H164" s="889"/>
      <c r="I164" s="891">
        <f>7/12*(pers!H136-H115-H116)+H115+H116+5/12*pers!I136</f>
        <v>7929.17</v>
      </c>
      <c r="J164" s="890">
        <f>(7/12*pers!I136)+(5/12*pers!J136)</f>
        <v>0</v>
      </c>
      <c r="K164" s="890">
        <f>(7/12*pers!J136)+(5/12*pers!K136)</f>
        <v>0</v>
      </c>
      <c r="L164" s="890">
        <f>(7/12*pers!K136)+(5/12*pers!L136)</f>
        <v>0</v>
      </c>
      <c r="M164" s="890">
        <f>(7/12*pers!L136)+(5/12*pers!M136)</f>
        <v>0</v>
      </c>
      <c r="N164" s="890">
        <f>(7/12*pers!M136)+(5/12*pers!N136)</f>
        <v>0</v>
      </c>
    </row>
    <row r="165" spans="4:14" x14ac:dyDescent="0.3">
      <c r="D165" s="887" t="s">
        <v>106</v>
      </c>
      <c r="E165" s="888"/>
      <c r="F165" s="888"/>
      <c r="G165" s="888"/>
      <c r="H165" s="889"/>
      <c r="I165" s="890">
        <f>7/12*(dir!AH26+op!AH71+obp!AH46)+5/12*(dir!AH48+op!AH139+obp!AH89)</f>
        <v>0</v>
      </c>
      <c r="J165" s="890">
        <f>7/12*(dir!AH48+op!AH139+obp!AH89)+5/12*(dir!AH71+op!AH207+obp!AH132)</f>
        <v>0</v>
      </c>
      <c r="K165" s="890">
        <f>7/12*(dir!AH71+op!AH207+obp!AH132)+5/12*(dir!AH93+op!AH274+obp!AH174)</f>
        <v>0</v>
      </c>
      <c r="L165" s="890">
        <f>7/12*(dir!AH93+op!AH274+obp!AH174)+5/12*(dir!AH115+op!AH341+obp!AH216)</f>
        <v>0</v>
      </c>
      <c r="M165" s="890">
        <f>7/12*(dir!AI93+op!AI274+obp!AI174)+5/12*(dir!AI115+op!AI341+obp!AI216)</f>
        <v>0</v>
      </c>
      <c r="N165" s="890">
        <f>7/12*(dir!AJ93+op!AJ274+obp!AJ174)+5/12*(dir!AJ115+op!AJ341+obp!AJ216)</f>
        <v>0</v>
      </c>
    </row>
    <row r="166" spans="4:14" x14ac:dyDescent="0.3">
      <c r="D166" s="887" t="s">
        <v>105</v>
      </c>
      <c r="E166" s="888"/>
      <c r="F166" s="888"/>
      <c r="G166" s="888"/>
      <c r="H166" s="889"/>
      <c r="I166" s="890">
        <f t="shared" ref="I166:N166" si="72">(7/12*H114)+(5/12*I114)</f>
        <v>0</v>
      </c>
      <c r="J166" s="890">
        <f t="shared" si="72"/>
        <v>0</v>
      </c>
      <c r="K166" s="890">
        <f t="shared" si="72"/>
        <v>0</v>
      </c>
      <c r="L166" s="890">
        <f t="shared" si="72"/>
        <v>0</v>
      </c>
      <c r="M166" s="890">
        <f t="shared" si="72"/>
        <v>0</v>
      </c>
      <c r="N166" s="890">
        <f t="shared" si="72"/>
        <v>0</v>
      </c>
    </row>
    <row r="167" spans="4:14" x14ac:dyDescent="0.3">
      <c r="D167" s="888" t="s">
        <v>336</v>
      </c>
      <c r="E167" s="888"/>
      <c r="F167" s="888"/>
      <c r="G167" s="888"/>
      <c r="H167" s="889"/>
      <c r="I167" s="890">
        <f t="shared" ref="I167:N167" si="73">(7/12*H101)+(5/12*I101)</f>
        <v>1676330.9506513334</v>
      </c>
      <c r="J167" s="890">
        <f t="shared" si="73"/>
        <v>1523463.8181840668</v>
      </c>
      <c r="K167" s="890">
        <f t="shared" si="73"/>
        <v>1468803.5436050002</v>
      </c>
      <c r="L167" s="890">
        <f t="shared" si="73"/>
        <v>1480761.7745449999</v>
      </c>
      <c r="M167" s="890">
        <f t="shared" si="73"/>
        <v>1492720.0054849999</v>
      </c>
      <c r="N167" s="890">
        <f t="shared" si="73"/>
        <v>1499695.6401999998</v>
      </c>
    </row>
    <row r="168" spans="4:14" x14ac:dyDescent="0.3">
      <c r="D168" s="888" t="s">
        <v>337</v>
      </c>
      <c r="E168" s="888"/>
      <c r="F168" s="888"/>
      <c r="G168" s="888"/>
      <c r="H168" s="889"/>
      <c r="I168" s="890">
        <f t="shared" ref="I168:N168" si="74">(7/12*H138)+(5/12*I138)</f>
        <v>202500.20007926464</v>
      </c>
      <c r="J168" s="890">
        <f t="shared" si="74"/>
        <v>207937.34532851118</v>
      </c>
      <c r="K168" s="890">
        <f t="shared" si="74"/>
        <v>214767.81916817365</v>
      </c>
      <c r="L168" s="890">
        <f t="shared" si="74"/>
        <v>220906.10198915013</v>
      </c>
      <c r="M168" s="890">
        <f t="shared" si="74"/>
        <v>227046.89692585898</v>
      </c>
      <c r="N168" s="890">
        <f t="shared" si="74"/>
        <v>231610.73273056059</v>
      </c>
    </row>
    <row r="169" spans="4:14" x14ac:dyDescent="0.3">
      <c r="D169" s="888" t="s">
        <v>475</v>
      </c>
      <c r="E169" s="888"/>
      <c r="F169" s="888"/>
      <c r="G169" s="888"/>
      <c r="H169" s="888"/>
      <c r="I169" s="892">
        <f t="shared" ref="I169:N169" si="75">(5/12*H44)+(7/12*I44)</f>
        <v>340536.91243473336</v>
      </c>
      <c r="J169" s="892">
        <f t="shared" si="75"/>
        <v>337524.36198240006</v>
      </c>
      <c r="K169" s="892">
        <f t="shared" si="75"/>
        <v>360312.04948240006</v>
      </c>
      <c r="L169" s="892">
        <f t="shared" si="75"/>
        <v>360312.04948240006</v>
      </c>
      <c r="M169" s="892">
        <f t="shared" si="75"/>
        <v>360312.04948240006</v>
      </c>
      <c r="N169" s="892">
        <f t="shared" si="75"/>
        <v>360312.04948240006</v>
      </c>
    </row>
    <row r="1195" spans="17:29" x14ac:dyDescent="0.3">
      <c r="Q1195" s="19"/>
      <c r="R1195" s="19"/>
      <c r="S1195" s="19"/>
      <c r="T1195" s="19"/>
      <c r="U1195" s="19"/>
      <c r="V1195" s="19"/>
      <c r="W1195" s="19"/>
      <c r="X1195" s="19"/>
      <c r="Y1195" s="19"/>
      <c r="Z1195" s="19"/>
      <c r="AA1195" s="19"/>
      <c r="AB1195" s="19"/>
      <c r="AC1195" s="19"/>
    </row>
    <row r="1196" spans="17:29" x14ac:dyDescent="0.3">
      <c r="Q1196" s="19"/>
      <c r="R1196" s="19"/>
      <c r="S1196" s="19"/>
      <c r="T1196" s="19"/>
      <c r="U1196" s="19"/>
      <c r="V1196" s="19"/>
      <c r="W1196" s="19"/>
      <c r="X1196" s="19"/>
      <c r="Y1196" s="19"/>
      <c r="Z1196" s="19"/>
      <c r="AA1196" s="19"/>
      <c r="AB1196" s="19"/>
      <c r="AC1196" s="19"/>
    </row>
    <row r="1197" spans="17:29" x14ac:dyDescent="0.3">
      <c r="Q1197" s="19"/>
      <c r="R1197" s="19"/>
      <c r="S1197" s="19"/>
      <c r="T1197" s="19"/>
      <c r="U1197" s="19"/>
      <c r="V1197" s="19"/>
      <c r="W1197" s="19"/>
      <c r="X1197" s="19"/>
      <c r="Y1197" s="19"/>
      <c r="Z1197" s="19"/>
      <c r="AA1197" s="19"/>
      <c r="AB1197" s="19"/>
      <c r="AC1197" s="19"/>
    </row>
    <row r="1198" spans="17:29" x14ac:dyDescent="0.3">
      <c r="Q1198" s="19"/>
      <c r="R1198" s="19"/>
      <c r="S1198" s="19"/>
      <c r="T1198" s="19"/>
      <c r="U1198" s="19"/>
      <c r="V1198" s="19"/>
      <c r="W1198" s="19"/>
      <c r="X1198" s="19"/>
      <c r="Y1198" s="19"/>
      <c r="Z1198" s="19"/>
      <c r="AA1198" s="19"/>
      <c r="AB1198" s="19"/>
      <c r="AC1198" s="19"/>
    </row>
    <row r="1199" spans="17:29" x14ac:dyDescent="0.3">
      <c r="Q1199" s="19"/>
      <c r="R1199" s="19"/>
      <c r="S1199" s="19"/>
      <c r="T1199" s="19"/>
      <c r="U1199" s="19"/>
      <c r="V1199" s="19"/>
      <c r="W1199" s="19"/>
      <c r="X1199" s="19"/>
      <c r="Y1199" s="19"/>
      <c r="Z1199" s="19"/>
      <c r="AA1199" s="19"/>
      <c r="AB1199" s="19"/>
      <c r="AC1199" s="19"/>
    </row>
    <row r="1200" spans="17:29" x14ac:dyDescent="0.3">
      <c r="Q1200" s="19"/>
      <c r="R1200" s="19"/>
      <c r="S1200" s="19"/>
      <c r="T1200" s="19"/>
      <c r="U1200" s="19"/>
      <c r="V1200" s="19"/>
      <c r="W1200" s="19"/>
      <c r="X1200" s="19"/>
      <c r="Y1200" s="19"/>
      <c r="Z1200" s="19"/>
      <c r="AA1200" s="19"/>
      <c r="AB1200" s="19"/>
      <c r="AC1200" s="19"/>
    </row>
    <row r="1201" spans="17:29" x14ac:dyDescent="0.3">
      <c r="Q1201" s="19"/>
      <c r="R1201" s="19"/>
      <c r="S1201" s="19"/>
      <c r="T1201" s="19"/>
      <c r="U1201" s="19"/>
      <c r="V1201" s="19"/>
      <c r="W1201" s="19"/>
      <c r="X1201" s="19"/>
      <c r="Y1201" s="19"/>
      <c r="Z1201" s="19"/>
      <c r="AA1201" s="19"/>
      <c r="AB1201" s="19"/>
      <c r="AC1201" s="19"/>
    </row>
    <row r="1202" spans="17:29" x14ac:dyDescent="0.3">
      <c r="Q1202" s="19"/>
      <c r="R1202" s="19"/>
      <c r="S1202" s="19"/>
      <c r="T1202" s="19"/>
      <c r="U1202" s="19"/>
      <c r="V1202" s="19"/>
      <c r="W1202" s="19"/>
      <c r="X1202" s="19"/>
      <c r="Y1202" s="19"/>
      <c r="Z1202" s="19"/>
      <c r="AA1202" s="19"/>
      <c r="AB1202" s="19"/>
      <c r="AC1202" s="19"/>
    </row>
    <row r="1203" spans="17:29" x14ac:dyDescent="0.3">
      <c r="Q1203" s="19"/>
      <c r="R1203" s="19"/>
      <c r="S1203" s="19"/>
      <c r="T1203" s="19"/>
      <c r="U1203" s="19"/>
      <c r="V1203" s="19"/>
      <c r="W1203" s="19"/>
      <c r="X1203" s="19"/>
      <c r="Y1203" s="19"/>
      <c r="Z1203" s="19"/>
      <c r="AA1203" s="19"/>
      <c r="AB1203" s="19"/>
      <c r="AC1203" s="19"/>
    </row>
    <row r="1204" spans="17:29" x14ac:dyDescent="0.3">
      <c r="Q1204" s="19"/>
      <c r="R1204" s="19"/>
      <c r="S1204" s="19"/>
      <c r="T1204" s="19"/>
      <c r="U1204" s="19"/>
      <c r="V1204" s="19"/>
      <c r="W1204" s="19"/>
      <c r="X1204" s="19"/>
      <c r="Y1204" s="19"/>
      <c r="Z1204" s="19"/>
      <c r="AA1204" s="19"/>
      <c r="AB1204" s="19"/>
      <c r="AC1204" s="19"/>
    </row>
    <row r="1205" spans="17:29" x14ac:dyDescent="0.3">
      <c r="Q1205" s="19"/>
      <c r="R1205" s="19"/>
      <c r="S1205" s="19"/>
      <c r="T1205" s="19"/>
      <c r="U1205" s="19"/>
      <c r="V1205" s="19"/>
      <c r="W1205" s="19"/>
      <c r="X1205" s="19"/>
      <c r="Y1205" s="19"/>
      <c r="Z1205" s="19"/>
      <c r="AA1205" s="19"/>
      <c r="AB1205" s="19"/>
      <c r="AC1205" s="19"/>
    </row>
    <row r="1206" spans="17:29" x14ac:dyDescent="0.3">
      <c r="Q1206" s="19"/>
      <c r="R1206" s="19"/>
      <c r="S1206" s="19"/>
      <c r="T1206" s="19"/>
      <c r="U1206" s="19"/>
      <c r="V1206" s="19"/>
      <c r="W1206" s="19"/>
      <c r="X1206" s="19"/>
      <c r="Y1206" s="19"/>
      <c r="Z1206" s="19"/>
      <c r="AA1206" s="19"/>
      <c r="AB1206" s="19"/>
      <c r="AC1206" s="19"/>
    </row>
    <row r="1207" spans="17:29" x14ac:dyDescent="0.3">
      <c r="Q1207" s="19"/>
      <c r="R1207" s="19"/>
      <c r="S1207" s="19"/>
      <c r="T1207" s="19"/>
      <c r="U1207" s="19"/>
      <c r="V1207" s="19"/>
      <c r="W1207" s="19"/>
      <c r="X1207" s="19"/>
      <c r="Y1207" s="19"/>
      <c r="Z1207" s="19"/>
      <c r="AA1207" s="19"/>
      <c r="AB1207" s="19"/>
      <c r="AC1207" s="19"/>
    </row>
    <row r="1208" spans="17:29" x14ac:dyDescent="0.3">
      <c r="Q1208" s="19"/>
      <c r="R1208" s="19"/>
      <c r="S1208" s="19"/>
      <c r="T1208" s="19"/>
      <c r="U1208" s="19"/>
      <c r="V1208" s="19"/>
      <c r="W1208" s="19"/>
      <c r="X1208" s="19"/>
      <c r="Y1208" s="19"/>
      <c r="Z1208" s="19"/>
      <c r="AA1208" s="19"/>
      <c r="AB1208" s="19"/>
      <c r="AC1208" s="19"/>
    </row>
    <row r="1209" spans="17:29" x14ac:dyDescent="0.3">
      <c r="Q1209" s="19"/>
      <c r="R1209" s="19"/>
      <c r="S1209" s="19"/>
      <c r="T1209" s="19"/>
      <c r="U1209" s="19"/>
      <c r="V1209" s="19"/>
      <c r="W1209" s="19"/>
      <c r="X1209" s="19"/>
      <c r="Y1209" s="19"/>
      <c r="Z1209" s="19"/>
      <c r="AA1209" s="19"/>
      <c r="AB1209" s="19"/>
      <c r="AC1209" s="19"/>
    </row>
    <row r="1210" spans="17:29" x14ac:dyDescent="0.3">
      <c r="Q1210" s="19"/>
      <c r="R1210" s="19"/>
      <c r="S1210" s="19"/>
      <c r="T1210" s="19"/>
      <c r="U1210" s="19"/>
      <c r="V1210" s="19"/>
      <c r="W1210" s="19"/>
      <c r="X1210" s="19"/>
      <c r="Y1210" s="19"/>
      <c r="Z1210" s="19"/>
      <c r="AA1210" s="19"/>
      <c r="AB1210" s="19"/>
      <c r="AC1210" s="19"/>
    </row>
    <row r="1211" spans="17:29" x14ac:dyDescent="0.3">
      <c r="Q1211" s="19"/>
      <c r="R1211" s="19"/>
      <c r="S1211" s="19"/>
      <c r="T1211" s="19"/>
      <c r="U1211" s="19"/>
      <c r="V1211" s="19"/>
      <c r="W1211" s="19"/>
      <c r="X1211" s="19"/>
      <c r="Y1211" s="19"/>
      <c r="Z1211" s="19"/>
      <c r="AA1211" s="19"/>
      <c r="AB1211" s="19"/>
      <c r="AC1211" s="19"/>
    </row>
    <row r="1212" spans="17:29" x14ac:dyDescent="0.3">
      <c r="Q1212" s="19"/>
      <c r="R1212" s="19"/>
      <c r="S1212" s="19"/>
      <c r="T1212" s="19"/>
      <c r="U1212" s="19"/>
      <c r="V1212" s="19"/>
      <c r="W1212" s="19"/>
      <c r="X1212" s="19"/>
      <c r="Y1212" s="19"/>
      <c r="Z1212" s="19"/>
      <c r="AA1212" s="19"/>
      <c r="AB1212" s="19"/>
      <c r="AC1212" s="19"/>
    </row>
    <row r="1213" spans="17:29" x14ac:dyDescent="0.3">
      <c r="Q1213" s="19"/>
      <c r="R1213" s="19"/>
      <c r="S1213" s="19"/>
      <c r="T1213" s="19"/>
      <c r="U1213" s="19"/>
      <c r="V1213" s="19"/>
      <c r="W1213" s="19"/>
      <c r="X1213" s="19"/>
      <c r="Y1213" s="19"/>
      <c r="Z1213" s="19"/>
      <c r="AA1213" s="19"/>
      <c r="AB1213" s="19"/>
      <c r="AC1213" s="19"/>
    </row>
    <row r="1214" spans="17:29" x14ac:dyDescent="0.3">
      <c r="Q1214" s="19"/>
      <c r="R1214" s="19"/>
      <c r="S1214" s="19"/>
      <c r="T1214" s="19"/>
      <c r="U1214" s="19"/>
      <c r="V1214" s="19"/>
      <c r="W1214" s="19"/>
      <c r="X1214" s="19"/>
      <c r="Y1214" s="19"/>
      <c r="Z1214" s="19"/>
      <c r="AA1214" s="19"/>
      <c r="AB1214" s="19"/>
      <c r="AC1214" s="19"/>
    </row>
    <row r="1215" spans="17:29" x14ac:dyDescent="0.3">
      <c r="Q1215" s="19"/>
      <c r="R1215" s="19"/>
      <c r="S1215" s="19"/>
      <c r="T1215" s="19"/>
      <c r="U1215" s="19"/>
      <c r="V1215" s="19"/>
      <c r="W1215" s="19"/>
      <c r="X1215" s="19"/>
      <c r="Y1215" s="19"/>
      <c r="Z1215" s="19"/>
      <c r="AA1215" s="19"/>
      <c r="AB1215" s="19"/>
      <c r="AC1215" s="19"/>
    </row>
    <row r="1216" spans="17:29" x14ac:dyDescent="0.3">
      <c r="Q1216" s="19"/>
      <c r="R1216" s="19"/>
      <c r="S1216" s="19"/>
      <c r="T1216" s="19"/>
      <c r="U1216" s="19"/>
      <c r="V1216" s="19"/>
      <c r="W1216" s="19"/>
      <c r="X1216" s="19"/>
      <c r="Y1216" s="19"/>
      <c r="Z1216" s="19"/>
      <c r="AA1216" s="19"/>
      <c r="AB1216" s="19"/>
      <c r="AC1216" s="19"/>
    </row>
    <row r="1217" spans="17:29" x14ac:dyDescent="0.3">
      <c r="Q1217" s="19"/>
      <c r="R1217" s="19"/>
      <c r="S1217" s="19"/>
      <c r="T1217" s="19"/>
      <c r="U1217" s="19"/>
      <c r="V1217" s="19"/>
      <c r="W1217" s="19"/>
      <c r="X1217" s="19"/>
      <c r="Y1217" s="19"/>
      <c r="Z1217" s="19"/>
      <c r="AA1217" s="19"/>
      <c r="AB1217" s="19"/>
      <c r="AC1217" s="19"/>
    </row>
    <row r="1218" spans="17:29" x14ac:dyDescent="0.3">
      <c r="Q1218" s="19"/>
      <c r="R1218" s="19"/>
      <c r="S1218" s="19"/>
      <c r="T1218" s="19"/>
      <c r="U1218" s="19"/>
      <c r="V1218" s="19"/>
      <c r="W1218" s="19"/>
      <c r="X1218" s="19"/>
      <c r="Y1218" s="19"/>
      <c r="Z1218" s="19"/>
      <c r="AA1218" s="19"/>
      <c r="AB1218" s="19"/>
      <c r="AC1218" s="19"/>
    </row>
    <row r="1219" spans="17:29" x14ac:dyDescent="0.3">
      <c r="Q1219" s="19"/>
      <c r="R1219" s="19"/>
      <c r="S1219" s="19"/>
      <c r="T1219" s="19"/>
      <c r="U1219" s="19"/>
      <c r="V1219" s="19"/>
      <c r="W1219" s="19"/>
      <c r="X1219" s="19"/>
      <c r="Y1219" s="19"/>
      <c r="Z1219" s="19"/>
      <c r="AA1219" s="19"/>
      <c r="AB1219" s="19"/>
      <c r="AC1219" s="19"/>
    </row>
    <row r="1220" spans="17:29" x14ac:dyDescent="0.3">
      <c r="Q1220" s="19"/>
      <c r="R1220" s="19"/>
      <c r="S1220" s="19"/>
      <c r="T1220" s="19"/>
      <c r="U1220" s="19"/>
      <c r="V1220" s="19"/>
      <c r="W1220" s="19"/>
      <c r="X1220" s="19"/>
      <c r="Y1220" s="19"/>
      <c r="Z1220" s="19"/>
      <c r="AA1220" s="19"/>
      <c r="AB1220" s="19"/>
      <c r="AC1220" s="19"/>
    </row>
    <row r="1221" spans="17:29" x14ac:dyDescent="0.3">
      <c r="Q1221" s="19"/>
      <c r="R1221" s="19"/>
      <c r="S1221" s="19"/>
      <c r="T1221" s="19"/>
      <c r="U1221" s="19"/>
      <c r="V1221" s="19"/>
      <c r="W1221" s="19"/>
      <c r="X1221" s="19"/>
      <c r="Y1221" s="19"/>
      <c r="Z1221" s="19"/>
      <c r="AA1221" s="19"/>
      <c r="AB1221" s="19"/>
      <c r="AC1221" s="19"/>
    </row>
    <row r="1222" spans="17:29" x14ac:dyDescent="0.3">
      <c r="Q1222" s="19"/>
      <c r="R1222" s="19"/>
      <c r="S1222" s="19"/>
      <c r="T1222" s="19"/>
      <c r="U1222" s="19"/>
      <c r="V1222" s="19"/>
      <c r="W1222" s="19"/>
      <c r="X1222" s="19"/>
      <c r="Y1222" s="19"/>
      <c r="Z1222" s="19"/>
      <c r="AA1222" s="19"/>
      <c r="AB1222" s="19"/>
      <c r="AC1222" s="19"/>
    </row>
    <row r="1223" spans="17:29" x14ac:dyDescent="0.3">
      <c r="Q1223" s="19"/>
      <c r="R1223" s="19"/>
      <c r="S1223" s="19"/>
      <c r="T1223" s="19"/>
      <c r="U1223" s="19"/>
      <c r="V1223" s="19"/>
      <c r="W1223" s="19"/>
      <c r="X1223" s="19"/>
      <c r="Y1223" s="19"/>
      <c r="Z1223" s="19"/>
      <c r="AA1223" s="19"/>
      <c r="AB1223" s="19"/>
      <c r="AC1223" s="19"/>
    </row>
    <row r="1224" spans="17:29" x14ac:dyDescent="0.3">
      <c r="Q1224" s="19"/>
      <c r="R1224" s="19"/>
      <c r="S1224" s="19"/>
      <c r="T1224" s="19"/>
      <c r="U1224" s="19"/>
      <c r="V1224" s="19"/>
      <c r="W1224" s="19"/>
      <c r="X1224" s="19"/>
      <c r="Y1224" s="19"/>
      <c r="Z1224" s="19"/>
      <c r="AA1224" s="19"/>
      <c r="AB1224" s="19"/>
      <c r="AC1224" s="19"/>
    </row>
    <row r="1225" spans="17:29" x14ac:dyDescent="0.3">
      <c r="Q1225" s="19"/>
      <c r="R1225" s="19"/>
      <c r="S1225" s="19"/>
      <c r="T1225" s="19"/>
      <c r="U1225" s="19"/>
      <c r="V1225" s="19"/>
      <c r="W1225" s="19"/>
      <c r="X1225" s="19"/>
      <c r="Y1225" s="19"/>
      <c r="Z1225" s="19"/>
      <c r="AA1225" s="19"/>
      <c r="AB1225" s="19"/>
      <c r="AC1225" s="19"/>
    </row>
    <row r="1226" spans="17:29" x14ac:dyDescent="0.3">
      <c r="Q1226" s="19"/>
      <c r="R1226" s="19"/>
      <c r="S1226" s="19"/>
      <c r="T1226" s="19"/>
      <c r="U1226" s="19"/>
      <c r="V1226" s="19"/>
      <c r="W1226" s="19"/>
      <c r="X1226" s="19"/>
      <c r="Y1226" s="19"/>
      <c r="Z1226" s="19"/>
      <c r="AA1226" s="19"/>
      <c r="AB1226" s="19"/>
      <c r="AC1226" s="19"/>
    </row>
    <row r="1227" spans="17:29" x14ac:dyDescent="0.3">
      <c r="Q1227" s="19"/>
      <c r="R1227" s="19"/>
      <c r="S1227" s="19"/>
      <c r="T1227" s="19"/>
      <c r="U1227" s="19"/>
      <c r="V1227" s="19"/>
      <c r="W1227" s="19"/>
      <c r="X1227" s="19"/>
      <c r="Y1227" s="19"/>
      <c r="Z1227" s="19"/>
      <c r="AA1227" s="19"/>
      <c r="AB1227" s="19"/>
      <c r="AC1227" s="19"/>
    </row>
    <row r="1228" spans="17:29" x14ac:dyDescent="0.3">
      <c r="Q1228" s="19"/>
      <c r="R1228" s="19"/>
      <c r="S1228" s="19"/>
      <c r="T1228" s="19"/>
      <c r="U1228" s="19"/>
      <c r="V1228" s="19"/>
      <c r="W1228" s="19"/>
      <c r="X1228" s="19"/>
      <c r="Y1228" s="19"/>
      <c r="Z1228" s="19"/>
      <c r="AA1228" s="19"/>
      <c r="AB1228" s="19"/>
      <c r="AC1228" s="19"/>
    </row>
    <row r="1229" spans="17:29" x14ac:dyDescent="0.3">
      <c r="Q1229" s="19"/>
      <c r="R1229" s="19"/>
      <c r="S1229" s="19"/>
      <c r="T1229" s="19"/>
      <c r="U1229" s="19"/>
      <c r="V1229" s="19"/>
      <c r="W1229" s="19"/>
      <c r="X1229" s="19"/>
      <c r="Y1229" s="19"/>
      <c r="Z1229" s="19"/>
      <c r="AA1229" s="19"/>
      <c r="AB1229" s="19"/>
      <c r="AC1229" s="19"/>
    </row>
    <row r="1230" spans="17:29" x14ac:dyDescent="0.3">
      <c r="Q1230" s="19"/>
      <c r="R1230" s="19"/>
      <c r="S1230" s="19"/>
      <c r="T1230" s="19"/>
      <c r="U1230" s="19"/>
      <c r="V1230" s="19"/>
      <c r="W1230" s="19"/>
      <c r="X1230" s="19"/>
      <c r="Y1230" s="19"/>
      <c r="Z1230" s="19"/>
      <c r="AA1230" s="19"/>
      <c r="AB1230" s="19"/>
      <c r="AC1230" s="19"/>
    </row>
    <row r="1231" spans="17:29" x14ac:dyDescent="0.3">
      <c r="Q1231" s="19"/>
      <c r="R1231" s="19"/>
      <c r="S1231" s="19"/>
      <c r="T1231" s="19"/>
      <c r="U1231" s="19"/>
      <c r="V1231" s="19"/>
      <c r="W1231" s="19"/>
      <c r="X1231" s="19"/>
      <c r="Y1231" s="19"/>
      <c r="Z1231" s="19"/>
      <c r="AA1231" s="19"/>
      <c r="AB1231" s="19"/>
      <c r="AC1231" s="19"/>
    </row>
    <row r="1232" spans="17:29" x14ac:dyDescent="0.3">
      <c r="Q1232" s="19"/>
      <c r="R1232" s="19"/>
      <c r="S1232" s="19"/>
      <c r="T1232" s="19"/>
      <c r="U1232" s="19"/>
      <c r="V1232" s="19"/>
      <c r="W1232" s="19"/>
      <c r="X1232" s="19"/>
      <c r="Y1232" s="19"/>
      <c r="Z1232" s="19"/>
      <c r="AA1232" s="19"/>
      <c r="AB1232" s="19"/>
      <c r="AC1232" s="19"/>
    </row>
    <row r="1233" spans="4:32" x14ac:dyDescent="0.3">
      <c r="Q1233" s="19"/>
      <c r="R1233" s="19"/>
      <c r="S1233" s="19"/>
      <c r="T1233" s="19"/>
      <c r="U1233" s="19"/>
      <c r="V1233" s="19"/>
      <c r="W1233" s="19"/>
      <c r="X1233" s="19"/>
      <c r="Y1233" s="19"/>
      <c r="Z1233" s="19"/>
      <c r="AA1233" s="19"/>
      <c r="AB1233" s="19"/>
      <c r="AC1233" s="19"/>
    </row>
    <row r="1234" spans="4:32" x14ac:dyDescent="0.3">
      <c r="Q1234" s="19"/>
      <c r="R1234" s="19"/>
      <c r="S1234" s="19"/>
      <c r="T1234" s="19"/>
      <c r="U1234" s="19"/>
      <c r="V1234" s="19"/>
      <c r="W1234" s="19"/>
      <c r="X1234" s="19"/>
      <c r="Y1234" s="19"/>
      <c r="Z1234" s="19"/>
      <c r="AA1234" s="19"/>
      <c r="AB1234" s="19"/>
      <c r="AC1234" s="19"/>
    </row>
    <row r="1235" spans="4:32" x14ac:dyDescent="0.3">
      <c r="Q1235" s="19"/>
      <c r="R1235" s="19"/>
      <c r="S1235" s="19"/>
      <c r="T1235" s="19"/>
      <c r="U1235" s="19"/>
      <c r="V1235" s="19"/>
      <c r="W1235" s="19"/>
      <c r="X1235" s="19"/>
      <c r="Y1235" s="19"/>
      <c r="Z1235" s="19"/>
      <c r="AA1235" s="19"/>
      <c r="AB1235" s="19"/>
      <c r="AC1235" s="19"/>
    </row>
    <row r="1236" spans="4:32" x14ac:dyDescent="0.3">
      <c r="Q1236" s="19"/>
      <c r="R1236" s="19"/>
      <c r="S1236" s="19"/>
      <c r="T1236" s="19"/>
      <c r="U1236" s="19"/>
      <c r="V1236" s="19"/>
      <c r="W1236" s="19"/>
      <c r="X1236" s="19"/>
      <c r="Y1236" s="19"/>
      <c r="Z1236" s="19"/>
      <c r="AA1236" s="19"/>
      <c r="AB1236" s="19"/>
      <c r="AC1236" s="19"/>
    </row>
    <row r="1237" spans="4:32" x14ac:dyDescent="0.3">
      <c r="Q1237" s="19"/>
      <c r="R1237" s="19"/>
      <c r="S1237" s="19"/>
      <c r="T1237" s="19"/>
      <c r="U1237" s="19"/>
      <c r="V1237" s="19"/>
      <c r="W1237" s="19"/>
      <c r="X1237" s="19"/>
      <c r="Y1237" s="19"/>
      <c r="Z1237" s="19"/>
      <c r="AA1237" s="19"/>
      <c r="AB1237" s="19"/>
      <c r="AC1237" s="19"/>
    </row>
    <row r="1238" spans="4:32" x14ac:dyDescent="0.3">
      <c r="Q1238" s="19"/>
      <c r="R1238" s="19"/>
      <c r="S1238" s="19"/>
      <c r="T1238" s="19"/>
      <c r="U1238" s="19"/>
      <c r="V1238" s="19"/>
      <c r="W1238" s="19"/>
      <c r="X1238" s="19"/>
      <c r="Y1238" s="19"/>
      <c r="Z1238" s="19"/>
      <c r="AA1238" s="19"/>
      <c r="AB1238" s="19"/>
      <c r="AC1238" s="19"/>
    </row>
    <row r="1239" spans="4:32" x14ac:dyDescent="0.3">
      <c r="Q1239" s="19"/>
      <c r="R1239" s="19"/>
      <c r="S1239" s="19"/>
      <c r="T1239" s="19"/>
      <c r="U1239" s="19"/>
      <c r="V1239" s="19"/>
      <c r="W1239" s="19"/>
      <c r="X1239" s="19"/>
      <c r="Y1239" s="19"/>
      <c r="Z1239" s="19"/>
      <c r="AA1239" s="19"/>
      <c r="AB1239" s="19"/>
      <c r="AC1239" s="19"/>
    </row>
    <row r="1240" spans="4:32" x14ac:dyDescent="0.3">
      <c r="Q1240" s="19"/>
      <c r="R1240" s="19"/>
      <c r="S1240" s="19"/>
      <c r="T1240" s="19"/>
      <c r="U1240" s="19"/>
      <c r="V1240" s="19"/>
      <c r="W1240" s="19"/>
      <c r="X1240" s="19"/>
      <c r="Y1240" s="19"/>
      <c r="Z1240" s="19"/>
      <c r="AA1240" s="19"/>
      <c r="AB1240" s="19"/>
      <c r="AC1240" s="19"/>
    </row>
    <row r="1241" spans="4:32" x14ac:dyDescent="0.3">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row>
    <row r="1242" spans="4:32" x14ac:dyDescent="0.3">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row>
    <row r="1243" spans="4:32" x14ac:dyDescent="0.3">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row>
    <row r="1244" spans="4:32" x14ac:dyDescent="0.3">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row>
    <row r="1245" spans="4:32" x14ac:dyDescent="0.3">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row>
    <row r="1246" spans="4:32" x14ac:dyDescent="0.3">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row>
    <row r="1247" spans="4:32" x14ac:dyDescent="0.3">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row>
    <row r="1248" spans="4:32" x14ac:dyDescent="0.3">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row>
    <row r="1249" spans="4:32" x14ac:dyDescent="0.3">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row>
    <row r="1250" spans="4:32" x14ac:dyDescent="0.3">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row>
    <row r="1251" spans="4:32" x14ac:dyDescent="0.3">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row>
    <row r="1252" spans="4:32" x14ac:dyDescent="0.3">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row>
    <row r="1253" spans="4:32" x14ac:dyDescent="0.3">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row>
    <row r="1254" spans="4:32" x14ac:dyDescent="0.3">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row>
    <row r="1255" spans="4:32" x14ac:dyDescent="0.3">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row>
    <row r="1256" spans="4:32" x14ac:dyDescent="0.3">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row>
    <row r="1257" spans="4:32" x14ac:dyDescent="0.3">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row>
    <row r="1258" spans="4:32" x14ac:dyDescent="0.3">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row>
    <row r="1259" spans="4:32" x14ac:dyDescent="0.3">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row>
    <row r="1260" spans="4:32" x14ac:dyDescent="0.3">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row>
    <row r="1261" spans="4:32" x14ac:dyDescent="0.3">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row>
    <row r="1262" spans="4:32" x14ac:dyDescent="0.3">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row>
    <row r="1263" spans="4:32" x14ac:dyDescent="0.3">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row>
    <row r="1264" spans="4:32" x14ac:dyDescent="0.3">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row>
    <row r="1265" spans="4:32" x14ac:dyDescent="0.3">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row>
    <row r="1266" spans="4:32" x14ac:dyDescent="0.3">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row>
    <row r="1267" spans="4:32" x14ac:dyDescent="0.3">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row>
    <row r="1268" spans="4:32" x14ac:dyDescent="0.3">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row>
    <row r="1269" spans="4:32" x14ac:dyDescent="0.3">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row>
    <row r="1270" spans="4:32" x14ac:dyDescent="0.3">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row>
    <row r="1271" spans="4:32" x14ac:dyDescent="0.3">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row>
    <row r="1272" spans="4:32" x14ac:dyDescent="0.3">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row>
    <row r="1273" spans="4:32" x14ac:dyDescent="0.3">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row>
    <row r="1274" spans="4:32" x14ac:dyDescent="0.3">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row>
    <row r="1275" spans="4:32" x14ac:dyDescent="0.3">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row>
    <row r="1276" spans="4:32" x14ac:dyDescent="0.3">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row>
    <row r="1277" spans="4:32" x14ac:dyDescent="0.3">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row>
    <row r="1278" spans="4:32" x14ac:dyDescent="0.3">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row>
    <row r="1279" spans="4:32" x14ac:dyDescent="0.3">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row>
    <row r="1280" spans="4:32" x14ac:dyDescent="0.3">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row>
    <row r="1281" spans="4:32" x14ac:dyDescent="0.3">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row>
    <row r="1282" spans="4:32" x14ac:dyDescent="0.3">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row>
    <row r="1283" spans="4:32" x14ac:dyDescent="0.3">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row>
    <row r="1284" spans="4:32" x14ac:dyDescent="0.3">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row>
    <row r="1285" spans="4:32" x14ac:dyDescent="0.3">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row>
    <row r="1286" spans="4:32" x14ac:dyDescent="0.3">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row>
    <row r="1287" spans="4:32" x14ac:dyDescent="0.3">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row>
    <row r="1288" spans="4:32" x14ac:dyDescent="0.3">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row>
    <row r="1289" spans="4:32" x14ac:dyDescent="0.3">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row>
    <row r="1290" spans="4:32" x14ac:dyDescent="0.3">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row>
    <row r="1291" spans="4:32" x14ac:dyDescent="0.3">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row>
    <row r="1292" spans="4:32" x14ac:dyDescent="0.3">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row>
    <row r="1293" spans="4:32" x14ac:dyDescent="0.3">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row>
    <row r="1294" spans="4:32" x14ac:dyDescent="0.3">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row>
    <row r="1295" spans="4:32" x14ac:dyDescent="0.3">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row>
    <row r="1296" spans="4:32" x14ac:dyDescent="0.3">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row>
    <row r="1297" spans="4:32" x14ac:dyDescent="0.3">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row>
    <row r="1298" spans="4:32" x14ac:dyDescent="0.3">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row>
    <row r="1299" spans="4:32" x14ac:dyDescent="0.3">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row>
    <row r="1300" spans="4:32" x14ac:dyDescent="0.3">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row>
    <row r="1301" spans="4:32" x14ac:dyDescent="0.3">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row>
    <row r="1302" spans="4:32" x14ac:dyDescent="0.3">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row>
    <row r="1303" spans="4:32" x14ac:dyDescent="0.3">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row>
    <row r="1304" spans="4:32" x14ac:dyDescent="0.3">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row>
    <row r="1305" spans="4:32" x14ac:dyDescent="0.3">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row>
    <row r="1306" spans="4:32" x14ac:dyDescent="0.3">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row>
    <row r="1307" spans="4:32" x14ac:dyDescent="0.3">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row>
    <row r="1308" spans="4:32" x14ac:dyDescent="0.3">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row>
    <row r="1309" spans="4:32" x14ac:dyDescent="0.3">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row>
    <row r="1310" spans="4:32" x14ac:dyDescent="0.3">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row>
    <row r="1311" spans="4:32" x14ac:dyDescent="0.3">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row>
    <row r="1312" spans="4:32" x14ac:dyDescent="0.3">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row>
    <row r="1313" spans="4:32" x14ac:dyDescent="0.3">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row>
    <row r="1314" spans="4:32" x14ac:dyDescent="0.3">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row>
    <row r="1315" spans="4:32" x14ac:dyDescent="0.3">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row>
    <row r="1316" spans="4:32" x14ac:dyDescent="0.3">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row>
    <row r="1317" spans="4:32" x14ac:dyDescent="0.3">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row>
    <row r="1318" spans="4:32" x14ac:dyDescent="0.3">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row>
    <row r="1319" spans="4:32" x14ac:dyDescent="0.3">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row>
    <row r="1320" spans="4:32" x14ac:dyDescent="0.3">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row>
    <row r="1321" spans="4:32" x14ac:dyDescent="0.3">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row>
    <row r="1322" spans="4:32" x14ac:dyDescent="0.3">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row>
    <row r="1323" spans="4:32" x14ac:dyDescent="0.3">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row>
    <row r="1324" spans="4:32" x14ac:dyDescent="0.3">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row>
    <row r="1325" spans="4:32" x14ac:dyDescent="0.3">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row>
    <row r="1326" spans="4:32" x14ac:dyDescent="0.3">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row>
    <row r="1327" spans="4:32" x14ac:dyDescent="0.3">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row>
    <row r="1328" spans="4:32" x14ac:dyDescent="0.3">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row>
    <row r="1329" spans="4:32" x14ac:dyDescent="0.3">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row>
    <row r="1330" spans="4:32" x14ac:dyDescent="0.3">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row>
    <row r="1331" spans="4:32" x14ac:dyDescent="0.3">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row>
    <row r="1332" spans="4:32" x14ac:dyDescent="0.3">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row>
    <row r="1333" spans="4:32" x14ac:dyDescent="0.3">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row>
    <row r="1334" spans="4:32" x14ac:dyDescent="0.3">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row>
    <row r="1335" spans="4:32" x14ac:dyDescent="0.3">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row>
    <row r="1336" spans="4:32" x14ac:dyDescent="0.3">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row>
    <row r="1337" spans="4:32" x14ac:dyDescent="0.3">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row>
    <row r="1338" spans="4:32" x14ac:dyDescent="0.3">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row>
    <row r="1339" spans="4:32" x14ac:dyDescent="0.3">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row>
    <row r="1340" spans="4:32" x14ac:dyDescent="0.3">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row>
    <row r="1341" spans="4:32" x14ac:dyDescent="0.3">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row>
    <row r="1342" spans="4:32" x14ac:dyDescent="0.3">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row>
    <row r="1343" spans="4:32" x14ac:dyDescent="0.3">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row>
    <row r="1344" spans="4:32" x14ac:dyDescent="0.3">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row>
    <row r="1345" spans="4:32" x14ac:dyDescent="0.3">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row>
    <row r="1346" spans="4:32" x14ac:dyDescent="0.3">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row>
    <row r="1347" spans="4:32" x14ac:dyDescent="0.3">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row>
    <row r="1348" spans="4:32" x14ac:dyDescent="0.3">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row>
    <row r="1349" spans="4:32" x14ac:dyDescent="0.3">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row>
    <row r="1350" spans="4:32" x14ac:dyDescent="0.3">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row>
    <row r="1351" spans="4:32" x14ac:dyDescent="0.3">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row>
    <row r="1352" spans="4:32" x14ac:dyDescent="0.3">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row>
    <row r="1353" spans="4:32" x14ac:dyDescent="0.3">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row>
    <row r="1354" spans="4:32" x14ac:dyDescent="0.3">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row>
    <row r="1355" spans="4:32" x14ac:dyDescent="0.3">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row>
    <row r="1356" spans="4:32" x14ac:dyDescent="0.3">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row>
    <row r="1357" spans="4:32" x14ac:dyDescent="0.3">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row>
    <row r="1358" spans="4:32" x14ac:dyDescent="0.3">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row>
    <row r="1359" spans="4:32" x14ac:dyDescent="0.3">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row>
    <row r="1360" spans="4:32" x14ac:dyDescent="0.3">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row>
    <row r="1361" spans="4:32" x14ac:dyDescent="0.3">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row>
    <row r="1362" spans="4:32" x14ac:dyDescent="0.3">
      <c r="D1362" s="19"/>
      <c r="E1362" s="19"/>
      <c r="F1362" s="19"/>
      <c r="G1362" s="19"/>
      <c r="H1362" s="19"/>
      <c r="I1362" s="19"/>
      <c r="J1362" s="19"/>
      <c r="K1362" s="19"/>
      <c r="L1362" s="19"/>
      <c r="M1362" s="19"/>
      <c r="N1362" s="19"/>
      <c r="O1362" s="19"/>
      <c r="P1362" s="19"/>
      <c r="AD1362" s="19"/>
      <c r="AE1362" s="19"/>
      <c r="AF1362" s="19"/>
    </row>
    <row r="1363" spans="4:32" x14ac:dyDescent="0.3">
      <c r="D1363" s="19"/>
      <c r="E1363" s="19"/>
      <c r="F1363" s="19"/>
      <c r="G1363" s="19"/>
      <c r="H1363" s="19"/>
      <c r="I1363" s="19"/>
      <c r="J1363" s="19"/>
      <c r="K1363" s="19"/>
      <c r="L1363" s="19"/>
      <c r="M1363" s="19"/>
      <c r="N1363" s="19"/>
      <c r="O1363" s="19"/>
      <c r="P1363" s="19"/>
      <c r="AD1363" s="19"/>
      <c r="AE1363" s="19"/>
      <c r="AF1363" s="19"/>
    </row>
    <row r="1364" spans="4:32" x14ac:dyDescent="0.3">
      <c r="D1364" s="19"/>
      <c r="E1364" s="19"/>
      <c r="F1364" s="19"/>
      <c r="G1364" s="19"/>
      <c r="H1364" s="19"/>
      <c r="I1364" s="19"/>
      <c r="J1364" s="19"/>
      <c r="K1364" s="19"/>
      <c r="L1364" s="19"/>
      <c r="M1364" s="19"/>
      <c r="N1364" s="19"/>
      <c r="O1364" s="19"/>
      <c r="P1364" s="19"/>
      <c r="AD1364" s="19"/>
      <c r="AE1364" s="19"/>
      <c r="AF1364" s="19"/>
    </row>
    <row r="1365" spans="4:32" x14ac:dyDescent="0.3">
      <c r="D1365" s="19"/>
      <c r="E1365" s="19"/>
      <c r="F1365" s="19"/>
      <c r="G1365" s="19"/>
      <c r="H1365" s="19"/>
      <c r="I1365" s="19"/>
      <c r="J1365" s="19"/>
      <c r="K1365" s="19"/>
      <c r="L1365" s="19"/>
      <c r="M1365" s="19"/>
      <c r="N1365" s="19"/>
      <c r="O1365" s="19"/>
      <c r="P1365" s="19"/>
      <c r="AD1365" s="19"/>
      <c r="AE1365" s="19"/>
      <c r="AF1365" s="19"/>
    </row>
    <row r="1366" spans="4:32" x14ac:dyDescent="0.3">
      <c r="D1366" s="19"/>
      <c r="E1366" s="19"/>
      <c r="F1366" s="19"/>
      <c r="G1366" s="19"/>
      <c r="H1366" s="19"/>
      <c r="I1366" s="19"/>
      <c r="J1366" s="19"/>
      <c r="K1366" s="19"/>
      <c r="L1366" s="19"/>
      <c r="M1366" s="19"/>
      <c r="N1366" s="19"/>
      <c r="O1366" s="19"/>
      <c r="P1366" s="19"/>
      <c r="AD1366" s="19"/>
      <c r="AE1366" s="19"/>
      <c r="AF1366" s="19"/>
    </row>
    <row r="1367" spans="4:32" x14ac:dyDescent="0.3">
      <c r="D1367" s="19"/>
      <c r="E1367" s="19"/>
      <c r="F1367" s="19"/>
      <c r="G1367" s="19"/>
      <c r="H1367" s="19"/>
      <c r="I1367" s="19"/>
      <c r="J1367" s="19"/>
      <c r="K1367" s="19"/>
      <c r="L1367" s="19"/>
      <c r="M1367" s="19"/>
      <c r="N1367" s="19"/>
      <c r="O1367" s="19"/>
      <c r="P1367" s="19"/>
      <c r="AD1367" s="19"/>
      <c r="AE1367" s="19"/>
      <c r="AF1367" s="19"/>
    </row>
    <row r="1368" spans="4:32" x14ac:dyDescent="0.3">
      <c r="D1368" s="19"/>
      <c r="E1368" s="19"/>
      <c r="F1368" s="19"/>
      <c r="G1368" s="19"/>
      <c r="H1368" s="19"/>
      <c r="I1368" s="19"/>
      <c r="J1368" s="19"/>
      <c r="K1368" s="19"/>
      <c r="L1368" s="19"/>
      <c r="M1368" s="19"/>
      <c r="N1368" s="19"/>
      <c r="O1368" s="19"/>
      <c r="P1368" s="19"/>
      <c r="AD1368" s="19"/>
      <c r="AE1368" s="19"/>
      <c r="AF1368" s="19"/>
    </row>
    <row r="1369" spans="4:32" x14ac:dyDescent="0.3">
      <c r="D1369" s="19"/>
      <c r="E1369" s="19"/>
      <c r="F1369" s="19"/>
      <c r="G1369" s="19"/>
      <c r="H1369" s="19"/>
      <c r="I1369" s="19"/>
      <c r="J1369" s="19"/>
      <c r="K1369" s="19"/>
      <c r="L1369" s="19"/>
      <c r="M1369" s="19"/>
      <c r="N1369" s="19"/>
      <c r="O1369" s="19"/>
      <c r="P1369" s="19"/>
      <c r="AD1369" s="19"/>
      <c r="AE1369" s="19"/>
      <c r="AF1369" s="19"/>
    </row>
    <row r="1370" spans="4:32" x14ac:dyDescent="0.3">
      <c r="D1370" s="19"/>
      <c r="E1370" s="19"/>
      <c r="F1370" s="19"/>
      <c r="G1370" s="19"/>
      <c r="H1370" s="19"/>
      <c r="I1370" s="19"/>
      <c r="J1370" s="19"/>
      <c r="K1370" s="19"/>
      <c r="L1370" s="19"/>
      <c r="M1370" s="19"/>
      <c r="N1370" s="19"/>
      <c r="O1370" s="19"/>
      <c r="P1370" s="19"/>
      <c r="AD1370" s="19"/>
      <c r="AE1370" s="19"/>
      <c r="AF1370" s="19"/>
    </row>
    <row r="1371" spans="4:32" x14ac:dyDescent="0.3">
      <c r="D1371" s="19"/>
      <c r="E1371" s="19"/>
      <c r="F1371" s="19"/>
      <c r="G1371" s="19"/>
      <c r="H1371" s="19"/>
      <c r="I1371" s="19"/>
      <c r="J1371" s="19"/>
      <c r="K1371" s="19"/>
      <c r="L1371" s="19"/>
      <c r="M1371" s="19"/>
      <c r="N1371" s="19"/>
      <c r="O1371" s="19"/>
      <c r="P1371" s="19"/>
      <c r="AD1371" s="19"/>
      <c r="AE1371" s="19"/>
      <c r="AF1371" s="19"/>
    </row>
    <row r="1372" spans="4:32" x14ac:dyDescent="0.3">
      <c r="D1372" s="19"/>
      <c r="E1372" s="19"/>
      <c r="F1372" s="19"/>
      <c r="G1372" s="19"/>
      <c r="H1372" s="19"/>
      <c r="I1372" s="19"/>
      <c r="J1372" s="19"/>
      <c r="K1372" s="19"/>
      <c r="L1372" s="19"/>
      <c r="M1372" s="19"/>
      <c r="N1372" s="19"/>
      <c r="O1372" s="19"/>
      <c r="P1372" s="19"/>
      <c r="AD1372" s="19"/>
      <c r="AE1372" s="19"/>
      <c r="AF1372" s="19"/>
    </row>
    <row r="1373" spans="4:32" x14ac:dyDescent="0.3">
      <c r="D1373" s="19"/>
      <c r="E1373" s="19"/>
      <c r="F1373" s="19"/>
      <c r="G1373" s="19"/>
      <c r="H1373" s="19"/>
      <c r="I1373" s="19"/>
      <c r="J1373" s="19"/>
      <c r="K1373" s="19"/>
      <c r="L1373" s="19"/>
      <c r="M1373" s="19"/>
      <c r="N1373" s="19"/>
      <c r="O1373" s="19"/>
      <c r="P1373" s="19"/>
      <c r="AD1373" s="19"/>
      <c r="AE1373" s="19"/>
      <c r="AF1373" s="19"/>
    </row>
    <row r="1374" spans="4:32" x14ac:dyDescent="0.3">
      <c r="D1374" s="19"/>
      <c r="E1374" s="19"/>
      <c r="F1374" s="19"/>
      <c r="G1374" s="19"/>
      <c r="H1374" s="19"/>
      <c r="I1374" s="19"/>
      <c r="J1374" s="19"/>
      <c r="K1374" s="19"/>
      <c r="L1374" s="19"/>
      <c r="M1374" s="19"/>
      <c r="N1374" s="19"/>
      <c r="O1374" s="19"/>
      <c r="P1374" s="19"/>
      <c r="AD1374" s="19"/>
      <c r="AE1374" s="19"/>
      <c r="AF1374" s="19"/>
    </row>
    <row r="1375" spans="4:32" x14ac:dyDescent="0.3">
      <c r="D1375" s="19"/>
      <c r="E1375" s="19"/>
      <c r="F1375" s="19"/>
      <c r="G1375" s="19"/>
      <c r="H1375" s="19"/>
      <c r="I1375" s="19"/>
      <c r="J1375" s="19"/>
      <c r="K1375" s="19"/>
      <c r="L1375" s="19"/>
      <c r="M1375" s="19"/>
      <c r="N1375" s="19"/>
      <c r="O1375" s="19"/>
      <c r="P1375" s="19"/>
      <c r="AD1375" s="19"/>
      <c r="AE1375" s="19"/>
      <c r="AF1375" s="19"/>
    </row>
    <row r="1376" spans="4:32" x14ac:dyDescent="0.3">
      <c r="D1376" s="19"/>
      <c r="E1376" s="19"/>
      <c r="F1376" s="19"/>
      <c r="G1376" s="19"/>
      <c r="H1376" s="19"/>
      <c r="I1376" s="19"/>
      <c r="J1376" s="19"/>
      <c r="K1376" s="19"/>
      <c r="L1376" s="19"/>
      <c r="M1376" s="19"/>
      <c r="N1376" s="19"/>
      <c r="O1376" s="19"/>
      <c r="P1376" s="19"/>
      <c r="AD1376" s="19"/>
      <c r="AE1376" s="19"/>
      <c r="AF1376" s="19"/>
    </row>
    <row r="1377" spans="4:32" x14ac:dyDescent="0.3">
      <c r="D1377" s="19"/>
      <c r="E1377" s="19"/>
      <c r="F1377" s="19"/>
      <c r="G1377" s="19"/>
      <c r="H1377" s="19"/>
      <c r="I1377" s="19"/>
      <c r="J1377" s="19"/>
      <c r="K1377" s="19"/>
      <c r="L1377" s="19"/>
      <c r="M1377" s="19"/>
      <c r="N1377" s="19"/>
      <c r="O1377" s="19"/>
      <c r="P1377" s="19"/>
      <c r="AD1377" s="19"/>
      <c r="AE1377" s="19"/>
      <c r="AF1377" s="19"/>
    </row>
    <row r="1378" spans="4:32" x14ac:dyDescent="0.3">
      <c r="D1378" s="19"/>
      <c r="E1378" s="19"/>
      <c r="F1378" s="19"/>
      <c r="G1378" s="19"/>
      <c r="H1378" s="19"/>
      <c r="I1378" s="19"/>
      <c r="J1378" s="19"/>
      <c r="K1378" s="19"/>
      <c r="L1378" s="19"/>
      <c r="M1378" s="19"/>
      <c r="N1378" s="19"/>
      <c r="O1378" s="19"/>
      <c r="P1378" s="19"/>
      <c r="AD1378" s="19"/>
      <c r="AE1378" s="19"/>
      <c r="AF1378" s="19"/>
    </row>
    <row r="1379" spans="4:32" x14ac:dyDescent="0.3">
      <c r="D1379" s="19"/>
      <c r="E1379" s="19"/>
      <c r="F1379" s="19"/>
      <c r="G1379" s="19"/>
      <c r="H1379" s="19"/>
      <c r="I1379" s="19"/>
      <c r="J1379" s="19"/>
      <c r="K1379" s="19"/>
      <c r="L1379" s="19"/>
      <c r="M1379" s="19"/>
      <c r="N1379" s="19"/>
      <c r="O1379" s="19"/>
      <c r="P1379" s="19"/>
      <c r="AD1379" s="19"/>
      <c r="AE1379" s="19"/>
      <c r="AF1379" s="19"/>
    </row>
    <row r="1380" spans="4:32" x14ac:dyDescent="0.3">
      <c r="D1380" s="19"/>
      <c r="E1380" s="19"/>
      <c r="F1380" s="19"/>
      <c r="G1380" s="19"/>
      <c r="H1380" s="19"/>
      <c r="I1380" s="19"/>
      <c r="J1380" s="19"/>
      <c r="K1380" s="19"/>
      <c r="L1380" s="19"/>
      <c r="M1380" s="19"/>
      <c r="N1380" s="19"/>
      <c r="O1380" s="19"/>
      <c r="P1380" s="19"/>
      <c r="AD1380" s="19"/>
      <c r="AE1380" s="19"/>
      <c r="AF1380" s="19"/>
    </row>
    <row r="1381" spans="4:32" x14ac:dyDescent="0.3">
      <c r="D1381" s="19"/>
      <c r="E1381" s="19"/>
      <c r="F1381" s="19"/>
      <c r="G1381" s="19"/>
      <c r="H1381" s="19"/>
      <c r="I1381" s="19"/>
      <c r="J1381" s="19"/>
      <c r="K1381" s="19"/>
      <c r="L1381" s="19"/>
      <c r="M1381" s="19"/>
      <c r="N1381" s="19"/>
      <c r="O1381" s="19"/>
      <c r="P1381" s="19"/>
      <c r="AD1381" s="19"/>
      <c r="AE1381" s="19"/>
      <c r="AF1381" s="19"/>
    </row>
    <row r="1382" spans="4:32" x14ac:dyDescent="0.3">
      <c r="D1382" s="19"/>
      <c r="E1382" s="19"/>
      <c r="F1382" s="19"/>
      <c r="G1382" s="19"/>
      <c r="H1382" s="19"/>
      <c r="I1382" s="19"/>
      <c r="J1382" s="19"/>
      <c r="K1382" s="19"/>
      <c r="L1382" s="19"/>
      <c r="M1382" s="19"/>
      <c r="N1382" s="19"/>
      <c r="O1382" s="19"/>
      <c r="P1382" s="19"/>
      <c r="AD1382" s="19"/>
      <c r="AE1382" s="19"/>
      <c r="AF1382" s="19"/>
    </row>
    <row r="1383" spans="4:32" x14ac:dyDescent="0.3">
      <c r="D1383" s="19"/>
      <c r="E1383" s="19"/>
      <c r="F1383" s="19"/>
      <c r="G1383" s="19"/>
      <c r="H1383" s="19"/>
      <c r="I1383" s="19"/>
      <c r="J1383" s="19"/>
      <c r="K1383" s="19"/>
      <c r="L1383" s="19"/>
      <c r="M1383" s="19"/>
      <c r="N1383" s="19"/>
      <c r="O1383" s="19"/>
      <c r="P1383" s="19"/>
      <c r="AD1383" s="19"/>
      <c r="AE1383" s="19"/>
      <c r="AF1383" s="19"/>
    </row>
    <row r="1384" spans="4:32" x14ac:dyDescent="0.3">
      <c r="D1384" s="19"/>
      <c r="E1384" s="19"/>
      <c r="F1384" s="19"/>
      <c r="G1384" s="19"/>
      <c r="H1384" s="19"/>
      <c r="I1384" s="19"/>
      <c r="J1384" s="19"/>
      <c r="K1384" s="19"/>
      <c r="L1384" s="19"/>
      <c r="M1384" s="19"/>
      <c r="N1384" s="19"/>
      <c r="O1384" s="19"/>
      <c r="P1384" s="19"/>
      <c r="AD1384" s="19"/>
      <c r="AE1384" s="19"/>
      <c r="AF1384" s="19"/>
    </row>
    <row r="1385" spans="4:32" x14ac:dyDescent="0.3">
      <c r="D1385" s="19"/>
      <c r="E1385" s="19"/>
      <c r="F1385" s="19"/>
      <c r="G1385" s="19"/>
      <c r="H1385" s="19"/>
      <c r="I1385" s="19"/>
      <c r="J1385" s="19"/>
      <c r="K1385" s="19"/>
      <c r="L1385" s="19"/>
      <c r="M1385" s="19"/>
      <c r="N1385" s="19"/>
      <c r="O1385" s="19"/>
      <c r="P1385" s="19"/>
      <c r="AD1385" s="19"/>
      <c r="AE1385" s="19"/>
      <c r="AF1385" s="19"/>
    </row>
    <row r="1386" spans="4:32" x14ac:dyDescent="0.3">
      <c r="D1386" s="19"/>
      <c r="E1386" s="19"/>
      <c r="F1386" s="19"/>
      <c r="G1386" s="19"/>
      <c r="H1386" s="19"/>
      <c r="I1386" s="19"/>
      <c r="J1386" s="19"/>
      <c r="K1386" s="19"/>
      <c r="L1386" s="19"/>
      <c r="M1386" s="19"/>
      <c r="N1386" s="19"/>
      <c r="O1386" s="19"/>
      <c r="P1386" s="19"/>
      <c r="AD1386" s="19"/>
      <c r="AE1386" s="19"/>
      <c r="AF1386" s="19"/>
    </row>
    <row r="1387" spans="4:32" x14ac:dyDescent="0.3">
      <c r="D1387" s="19"/>
      <c r="E1387" s="19"/>
      <c r="F1387" s="19"/>
      <c r="G1387" s="19"/>
      <c r="H1387" s="19"/>
      <c r="I1387" s="19"/>
      <c r="J1387" s="19"/>
      <c r="K1387" s="19"/>
      <c r="L1387" s="19"/>
      <c r="M1387" s="19"/>
      <c r="N1387" s="19"/>
      <c r="O1387" s="19"/>
      <c r="P1387" s="19"/>
      <c r="AD1387" s="19"/>
      <c r="AE1387" s="19"/>
      <c r="AF1387" s="19"/>
    </row>
    <row r="1388" spans="4:32" x14ac:dyDescent="0.3">
      <c r="D1388" s="19"/>
      <c r="E1388" s="19"/>
      <c r="F1388" s="19"/>
      <c r="G1388" s="19"/>
      <c r="H1388" s="19"/>
      <c r="I1388" s="19"/>
      <c r="J1388" s="19"/>
      <c r="K1388" s="19"/>
      <c r="L1388" s="19"/>
      <c r="M1388" s="19"/>
      <c r="N1388" s="19"/>
      <c r="O1388" s="19"/>
      <c r="P1388" s="19"/>
      <c r="AD1388" s="19"/>
      <c r="AE1388" s="19"/>
      <c r="AF1388" s="19"/>
    </row>
    <row r="1389" spans="4:32" x14ac:dyDescent="0.3">
      <c r="D1389" s="19"/>
      <c r="E1389" s="19"/>
      <c r="F1389" s="19"/>
      <c r="G1389" s="19"/>
      <c r="H1389" s="19"/>
      <c r="I1389" s="19"/>
      <c r="J1389" s="19"/>
      <c r="K1389" s="19"/>
      <c r="L1389" s="19"/>
      <c r="M1389" s="19"/>
      <c r="N1389" s="19"/>
      <c r="O1389" s="19"/>
      <c r="P1389" s="19"/>
      <c r="AD1389" s="19"/>
      <c r="AE1389" s="19"/>
      <c r="AF1389" s="19"/>
    </row>
    <row r="1390" spans="4:32" x14ac:dyDescent="0.3">
      <c r="D1390" s="19"/>
      <c r="E1390" s="19"/>
      <c r="F1390" s="19"/>
      <c r="G1390" s="19"/>
      <c r="H1390" s="19"/>
      <c r="I1390" s="19"/>
      <c r="J1390" s="19"/>
      <c r="K1390" s="19"/>
      <c r="L1390" s="19"/>
      <c r="M1390" s="19"/>
      <c r="N1390" s="19"/>
      <c r="O1390" s="19"/>
      <c r="P1390" s="19"/>
      <c r="AD1390" s="19"/>
      <c r="AE1390" s="19"/>
      <c r="AF1390" s="19"/>
    </row>
    <row r="1391" spans="4:32" x14ac:dyDescent="0.3">
      <c r="D1391" s="19"/>
      <c r="E1391" s="19"/>
      <c r="F1391" s="19"/>
      <c r="G1391" s="19"/>
      <c r="H1391" s="19"/>
      <c r="I1391" s="19"/>
      <c r="J1391" s="19"/>
      <c r="K1391" s="19"/>
      <c r="L1391" s="19"/>
      <c r="M1391" s="19"/>
      <c r="N1391" s="19"/>
      <c r="O1391" s="19"/>
      <c r="P1391" s="19"/>
      <c r="AD1391" s="19"/>
      <c r="AE1391" s="19"/>
      <c r="AF1391" s="19"/>
    </row>
    <row r="1392" spans="4:32" x14ac:dyDescent="0.3">
      <c r="D1392" s="19"/>
      <c r="E1392" s="19"/>
      <c r="F1392" s="19"/>
      <c r="G1392" s="19"/>
      <c r="H1392" s="19"/>
      <c r="I1392" s="19"/>
      <c r="J1392" s="19"/>
      <c r="K1392" s="19"/>
      <c r="L1392" s="19"/>
      <c r="M1392" s="19"/>
      <c r="N1392" s="19"/>
      <c r="O1392" s="19"/>
      <c r="P1392" s="19"/>
      <c r="AD1392" s="19"/>
      <c r="AE1392" s="19"/>
      <c r="AF1392" s="19"/>
    </row>
    <row r="1393" spans="4:32" x14ac:dyDescent="0.3">
      <c r="D1393" s="19"/>
      <c r="E1393" s="19"/>
      <c r="F1393" s="19"/>
      <c r="G1393" s="19"/>
      <c r="H1393" s="19"/>
      <c r="I1393" s="19"/>
      <c r="J1393" s="19"/>
      <c r="K1393" s="19"/>
      <c r="L1393" s="19"/>
      <c r="M1393" s="19"/>
      <c r="N1393" s="19"/>
      <c r="O1393" s="19"/>
      <c r="P1393" s="19"/>
      <c r="AD1393" s="19"/>
      <c r="AE1393" s="19"/>
      <c r="AF1393" s="19"/>
    </row>
    <row r="1394" spans="4:32" x14ac:dyDescent="0.3">
      <c r="D1394" s="19"/>
      <c r="E1394" s="19"/>
      <c r="F1394" s="19"/>
      <c r="G1394" s="19"/>
      <c r="H1394" s="19"/>
      <c r="I1394" s="19"/>
      <c r="J1394" s="19"/>
      <c r="K1394" s="19"/>
      <c r="L1394" s="19"/>
      <c r="M1394" s="19"/>
      <c r="N1394" s="19"/>
      <c r="O1394" s="19"/>
      <c r="P1394" s="19"/>
      <c r="AD1394" s="19"/>
      <c r="AE1394" s="19"/>
      <c r="AF1394" s="19"/>
    </row>
    <row r="1395" spans="4:32" x14ac:dyDescent="0.3">
      <c r="D1395" s="19"/>
      <c r="E1395" s="19"/>
      <c r="F1395" s="19"/>
      <c r="G1395" s="19"/>
      <c r="H1395" s="19"/>
      <c r="I1395" s="19"/>
      <c r="J1395" s="19"/>
      <c r="K1395" s="19"/>
      <c r="L1395" s="19"/>
      <c r="M1395" s="19"/>
      <c r="N1395" s="19"/>
      <c r="O1395" s="19"/>
      <c r="P1395" s="19"/>
      <c r="AD1395" s="19"/>
      <c r="AE1395" s="19"/>
      <c r="AF1395" s="19"/>
    </row>
    <row r="1396" spans="4:32" x14ac:dyDescent="0.3">
      <c r="D1396" s="19"/>
      <c r="E1396" s="19"/>
      <c r="F1396" s="19"/>
      <c r="G1396" s="19"/>
      <c r="H1396" s="19"/>
      <c r="I1396" s="19"/>
      <c r="J1396" s="19"/>
      <c r="K1396" s="19"/>
      <c r="L1396" s="19"/>
      <c r="M1396" s="19"/>
      <c r="N1396" s="19"/>
      <c r="O1396" s="19"/>
      <c r="P1396" s="19"/>
      <c r="AD1396" s="19"/>
      <c r="AE1396" s="19"/>
      <c r="AF1396" s="19"/>
    </row>
    <row r="1397" spans="4:32" x14ac:dyDescent="0.3">
      <c r="D1397" s="19"/>
      <c r="E1397" s="19"/>
      <c r="F1397" s="19"/>
      <c r="G1397" s="19"/>
      <c r="H1397" s="19"/>
      <c r="I1397" s="19"/>
      <c r="J1397" s="19"/>
      <c r="K1397" s="19"/>
      <c r="L1397" s="19"/>
      <c r="M1397" s="19"/>
      <c r="N1397" s="19"/>
      <c r="O1397" s="19"/>
      <c r="P1397" s="19"/>
      <c r="AD1397" s="19"/>
      <c r="AE1397" s="19"/>
      <c r="AF1397" s="19"/>
    </row>
    <row r="1398" spans="4:32" x14ac:dyDescent="0.3">
      <c r="D1398" s="19"/>
      <c r="E1398" s="19"/>
      <c r="F1398" s="19"/>
      <c r="G1398" s="19"/>
      <c r="H1398" s="19"/>
      <c r="I1398" s="19"/>
      <c r="J1398" s="19"/>
      <c r="K1398" s="19"/>
      <c r="L1398" s="19"/>
      <c r="M1398" s="19"/>
      <c r="N1398" s="19"/>
      <c r="O1398" s="19"/>
      <c r="P1398" s="19"/>
      <c r="AD1398" s="19"/>
      <c r="AE1398" s="19"/>
      <c r="AF1398" s="19"/>
    </row>
    <row r="1399" spans="4:32" x14ac:dyDescent="0.3">
      <c r="D1399" s="19"/>
      <c r="E1399" s="19"/>
      <c r="F1399" s="19"/>
      <c r="G1399" s="19"/>
      <c r="H1399" s="19"/>
      <c r="I1399" s="19"/>
      <c r="J1399" s="19"/>
      <c r="K1399" s="19"/>
      <c r="L1399" s="19"/>
      <c r="M1399" s="19"/>
      <c r="N1399" s="19"/>
      <c r="O1399" s="19"/>
      <c r="P1399" s="19"/>
      <c r="AD1399" s="19"/>
      <c r="AE1399" s="19"/>
      <c r="AF1399" s="19"/>
    </row>
    <row r="1400" spans="4:32" x14ac:dyDescent="0.3">
      <c r="D1400" s="19"/>
      <c r="E1400" s="19"/>
      <c r="F1400" s="19"/>
      <c r="G1400" s="19"/>
      <c r="H1400" s="19"/>
      <c r="I1400" s="19"/>
      <c r="J1400" s="19"/>
      <c r="K1400" s="19"/>
      <c r="L1400" s="19"/>
      <c r="M1400" s="19"/>
      <c r="N1400" s="19"/>
      <c r="O1400" s="19"/>
      <c r="P1400" s="19"/>
      <c r="AD1400" s="19"/>
      <c r="AE1400" s="19"/>
      <c r="AF1400" s="19"/>
    </row>
    <row r="1401" spans="4:32" x14ac:dyDescent="0.3">
      <c r="D1401" s="19"/>
      <c r="E1401" s="19"/>
      <c r="F1401" s="19"/>
      <c r="G1401" s="19"/>
      <c r="H1401" s="19"/>
      <c r="I1401" s="19"/>
      <c r="J1401" s="19"/>
      <c r="K1401" s="19"/>
      <c r="L1401" s="19"/>
      <c r="M1401" s="19"/>
      <c r="N1401" s="19"/>
      <c r="O1401" s="19"/>
      <c r="P1401" s="19"/>
      <c r="AD1401" s="19"/>
      <c r="AE1401" s="19"/>
      <c r="AF1401" s="19"/>
    </row>
    <row r="1402" spans="4:32" x14ac:dyDescent="0.3">
      <c r="D1402" s="19"/>
      <c r="E1402" s="19"/>
      <c r="F1402" s="19"/>
      <c r="G1402" s="19"/>
      <c r="H1402" s="19"/>
      <c r="I1402" s="19"/>
      <c r="J1402" s="19"/>
      <c r="K1402" s="19"/>
      <c r="L1402" s="19"/>
      <c r="M1402" s="19"/>
      <c r="N1402" s="19"/>
      <c r="O1402" s="19"/>
      <c r="P1402" s="19"/>
      <c r="AD1402" s="19"/>
      <c r="AE1402" s="19"/>
      <c r="AF1402" s="19"/>
    </row>
    <row r="1403" spans="4:32" x14ac:dyDescent="0.3">
      <c r="D1403" s="19"/>
      <c r="E1403" s="19"/>
      <c r="F1403" s="19"/>
      <c r="G1403" s="19"/>
      <c r="H1403" s="19"/>
      <c r="I1403" s="19"/>
      <c r="J1403" s="19"/>
      <c r="K1403" s="19"/>
      <c r="L1403" s="19"/>
      <c r="M1403" s="19"/>
      <c r="N1403" s="19"/>
      <c r="O1403" s="19"/>
      <c r="P1403" s="19"/>
      <c r="AD1403" s="19"/>
      <c r="AE1403" s="19"/>
      <c r="AF1403" s="19"/>
    </row>
    <row r="1404" spans="4:32" x14ac:dyDescent="0.3">
      <c r="D1404" s="19"/>
      <c r="E1404" s="19"/>
      <c r="F1404" s="19"/>
      <c r="G1404" s="19"/>
      <c r="H1404" s="19"/>
      <c r="I1404" s="19"/>
      <c r="J1404" s="19"/>
      <c r="K1404" s="19"/>
      <c r="L1404" s="19"/>
      <c r="M1404" s="19"/>
      <c r="N1404" s="19"/>
      <c r="O1404" s="19"/>
      <c r="P1404" s="19"/>
      <c r="AD1404" s="19"/>
      <c r="AE1404" s="19"/>
      <c r="AF1404" s="19"/>
    </row>
    <row r="1405" spans="4:32" x14ac:dyDescent="0.3">
      <c r="D1405" s="19"/>
      <c r="E1405" s="19"/>
      <c r="F1405" s="19"/>
      <c r="G1405" s="19"/>
      <c r="H1405" s="19"/>
      <c r="I1405" s="19"/>
      <c r="J1405" s="19"/>
      <c r="K1405" s="19"/>
      <c r="L1405" s="19"/>
      <c r="M1405" s="19"/>
      <c r="N1405" s="19"/>
      <c r="O1405" s="19"/>
      <c r="P1405" s="19"/>
      <c r="AD1405" s="19"/>
      <c r="AE1405" s="19"/>
      <c r="AF1405" s="19"/>
    </row>
    <row r="1406" spans="4:32" x14ac:dyDescent="0.3">
      <c r="D1406" s="19"/>
      <c r="E1406" s="19"/>
      <c r="F1406" s="19"/>
      <c r="G1406" s="19"/>
      <c r="H1406" s="19"/>
      <c r="I1406" s="19"/>
      <c r="J1406" s="19"/>
      <c r="K1406" s="19"/>
      <c r="L1406" s="19"/>
      <c r="M1406" s="19"/>
      <c r="N1406" s="19"/>
      <c r="O1406" s="19"/>
      <c r="P1406" s="19"/>
      <c r="AD1406" s="19"/>
      <c r="AE1406" s="19"/>
      <c r="AF1406" s="19"/>
    </row>
    <row r="1407" spans="4:32" x14ac:dyDescent="0.3">
      <c r="D1407" s="19"/>
      <c r="E1407" s="19"/>
      <c r="F1407" s="19"/>
      <c r="G1407" s="19"/>
      <c r="H1407" s="19"/>
      <c r="I1407" s="19"/>
      <c r="J1407" s="19"/>
      <c r="K1407" s="19"/>
      <c r="L1407" s="19"/>
      <c r="M1407" s="19"/>
      <c r="N1407" s="19"/>
      <c r="O1407" s="19"/>
      <c r="P1407" s="19"/>
      <c r="AD1407" s="19"/>
      <c r="AE1407" s="19"/>
      <c r="AF1407" s="19"/>
    </row>
  </sheetData>
  <sheetProtection algorithmName="SHA-512" hashValue="mmzMccBvptvLL6ldFV6CvJMSoJM44a3HPYWAyPSXZRbPGiCqCKnAlG6qsomP8f4zcBvnrqjF/sziWBYCThmEzw==" saltValue="CFUd5xmqLhhgfKWKZTNJlw==" spinCount="100000" sheet="1" objects="1" scenarios="1"/>
  <phoneticPr fontId="0" type="noConversion"/>
  <dataValidations count="1">
    <dataValidation type="list" allowBlank="1" showInputMessage="1" showErrorMessage="1" sqref="H16:N16" xr:uid="{00000000-0002-0000-0200-000000000000}">
      <formula1>"ja,nee"</formula1>
    </dataValidation>
  </dataValidations>
  <pageMargins left="0.78740157480314965" right="0.78740157480314965" top="0.98425196850393704" bottom="0.98425196850393704" header="0.51181102362204722" footer="0.51181102362204722"/>
  <pageSetup paperSize="9" scale="51" fitToHeight="0" orientation="portrait" horizontalDpi="4294967293" verticalDpi="4294967293" r:id="rId1"/>
  <headerFooter alignWithMargins="0">
    <oddHeader>&amp;L&amp;"Arial,Vet"&amp;F&amp;R&amp;"Arial,Vet"&amp;A</oddHeader>
    <oddFooter>&amp;L&amp;"Arial,Vet"PO-Raad&amp;C&amp;"Arial,Vet"&amp;D&amp;R&amp;"Arial,Vet"pagina &amp;P</oddFooter>
  </headerFooter>
  <rowBreaks count="1" manualBreakCount="1">
    <brk id="80" min="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0"/>
  <dimension ref="B1:AN238"/>
  <sheetViews>
    <sheetView showGridLines="0" zoomScale="90" zoomScaleNormal="90" workbookViewId="0">
      <pane ySplit="15" topLeftCell="A16" activePane="bottomLeft" state="frozen"/>
      <selection activeCell="Q1" sqref="Q1:Q1048576"/>
      <selection pane="bottomLeft" activeCell="F10" sqref="F10"/>
    </sheetView>
  </sheetViews>
  <sheetFormatPr defaultColWidth="9.109375" defaultRowHeight="13.8" x14ac:dyDescent="0.3"/>
  <cols>
    <col min="1" max="1" width="3.6640625" style="8" customWidth="1"/>
    <col min="2" max="3" width="2.6640625" style="8" customWidth="1"/>
    <col min="4" max="4" width="9.109375" style="268" customWidth="1"/>
    <col min="5" max="5" width="21.109375" style="15" customWidth="1"/>
    <col min="6" max="6" width="8.6640625" style="16" customWidth="1"/>
    <col min="7" max="7" width="8.6640625" style="269" customWidth="1"/>
    <col min="8" max="9" width="8.6640625" style="270" customWidth="1"/>
    <col min="10" max="10" width="8.6640625" style="18" customWidth="1"/>
    <col min="11" max="11" width="0.88671875" style="8" customWidth="1"/>
    <col min="12" max="14" width="10.88671875" style="270" customWidth="1"/>
    <col min="15" max="15" width="10.88671875" style="270" hidden="1" customWidth="1"/>
    <col min="16" max="16" width="10.88671875" style="270" customWidth="1"/>
    <col min="17" max="17" width="0.88671875" style="8" customWidth="1"/>
    <col min="18" max="18" width="10.88671875" style="182" customWidth="1"/>
    <col min="19" max="19" width="10.88671875" style="153" customWidth="1"/>
    <col min="20" max="20" width="10.88671875" style="534" customWidth="1"/>
    <col min="21" max="22" width="2.6640625" style="8" customWidth="1"/>
    <col min="23" max="23" width="17.44140625" style="8" customWidth="1"/>
    <col min="24" max="24" width="15.109375" style="8" customWidth="1"/>
    <col min="25" max="25" width="11" style="1065" customWidth="1"/>
    <col min="26" max="29" width="10.88671875" style="1063" customWidth="1"/>
    <col min="30" max="30" width="11" style="1063" customWidth="1"/>
    <col min="31" max="31" width="11" style="1066" customWidth="1"/>
    <col min="32" max="32" width="11" style="1067" customWidth="1"/>
    <col min="33" max="33" width="11" style="1068" customWidth="1"/>
    <col min="34" max="34" width="11" style="1069" customWidth="1"/>
    <col min="35" max="35" width="1.5546875" style="1063" customWidth="1"/>
    <col min="36" max="36" width="12.6640625" style="1063" customWidth="1"/>
    <col min="37" max="37" width="12.6640625" style="16" customWidth="1"/>
    <col min="38" max="38" width="12.6640625" style="272" customWidth="1"/>
    <col min="39" max="39" width="12.6640625" style="8" customWidth="1"/>
    <col min="40" max="40" width="1.5546875" style="8" customWidth="1"/>
    <col min="41" max="42" width="10.6640625" style="8" customWidth="1"/>
    <col min="43" max="44" width="2.6640625" style="8" customWidth="1"/>
    <col min="45" max="50" width="9.33203125" style="8" bestFit="1" customWidth="1"/>
    <col min="51" max="16384" width="9.109375" style="8"/>
  </cols>
  <sheetData>
    <row r="1" spans="2:40" ht="12.75" customHeight="1" x14ac:dyDescent="0.3"/>
    <row r="2" spans="2:40" x14ac:dyDescent="0.3">
      <c r="B2" s="56"/>
      <c r="C2" s="57"/>
      <c r="D2" s="296"/>
      <c r="E2" s="85"/>
      <c r="F2" s="86"/>
      <c r="G2" s="297"/>
      <c r="H2" s="298"/>
      <c r="I2" s="298"/>
      <c r="J2" s="299"/>
      <c r="K2" s="57"/>
      <c r="L2" s="298"/>
      <c r="M2" s="298"/>
      <c r="N2" s="298"/>
      <c r="O2" s="298"/>
      <c r="P2" s="298"/>
      <c r="Q2" s="57"/>
      <c r="R2" s="390"/>
      <c r="S2" s="300"/>
      <c r="T2" s="775"/>
      <c r="U2" s="57"/>
      <c r="V2" s="60"/>
    </row>
    <row r="3" spans="2:40" x14ac:dyDescent="0.3">
      <c r="B3" s="61"/>
      <c r="C3" s="62"/>
      <c r="D3" s="302"/>
      <c r="E3" s="78"/>
      <c r="F3" s="79"/>
      <c r="G3" s="303"/>
      <c r="H3" s="304"/>
      <c r="I3" s="304"/>
      <c r="J3" s="305"/>
      <c r="K3" s="62"/>
      <c r="L3" s="304"/>
      <c r="M3" s="304"/>
      <c r="N3" s="304"/>
      <c r="O3" s="304"/>
      <c r="P3" s="304"/>
      <c r="Q3" s="62"/>
      <c r="R3" s="162"/>
      <c r="S3" s="306"/>
      <c r="T3" s="776"/>
      <c r="U3" s="62"/>
      <c r="V3" s="65"/>
    </row>
    <row r="4" spans="2:40" s="273" customFormat="1" ht="18" x14ac:dyDescent="0.35">
      <c r="B4" s="861"/>
      <c r="C4" s="833" t="s">
        <v>282</v>
      </c>
      <c r="D4" s="309"/>
      <c r="E4" s="310"/>
      <c r="F4" s="311"/>
      <c r="G4" s="312"/>
      <c r="H4" s="313"/>
      <c r="I4" s="313"/>
      <c r="J4" s="314"/>
      <c r="K4" s="315"/>
      <c r="L4" s="313"/>
      <c r="M4" s="313"/>
      <c r="N4" s="313"/>
      <c r="O4" s="313"/>
      <c r="P4" s="313"/>
      <c r="Q4" s="315"/>
      <c r="R4" s="391"/>
      <c r="S4" s="316"/>
      <c r="T4" s="862"/>
      <c r="U4" s="315"/>
      <c r="V4" s="317"/>
      <c r="Y4" s="1070"/>
      <c r="Z4" s="1132"/>
      <c r="AA4" s="1071"/>
      <c r="AB4" s="1071"/>
      <c r="AC4" s="1071"/>
      <c r="AD4" s="1071"/>
      <c r="AE4" s="1072"/>
      <c r="AF4" s="1073"/>
      <c r="AG4" s="1074"/>
      <c r="AH4" s="1073"/>
      <c r="AI4" s="1075"/>
      <c r="AJ4" s="1076"/>
      <c r="AK4" s="277"/>
      <c r="AL4" s="275"/>
    </row>
    <row r="5" spans="2:40" s="278" customFormat="1" ht="18" x14ac:dyDescent="0.35">
      <c r="B5" s="318"/>
      <c r="C5" s="319" t="str">
        <f>geg!F11</f>
        <v>Voorbeeldschool</v>
      </c>
      <c r="D5" s="320"/>
      <c r="E5" s="321"/>
      <c r="F5" s="322"/>
      <c r="G5" s="323"/>
      <c r="H5" s="324"/>
      <c r="I5" s="324"/>
      <c r="J5" s="325"/>
      <c r="K5" s="326"/>
      <c r="L5" s="324"/>
      <c r="M5" s="324"/>
      <c r="N5" s="324"/>
      <c r="O5" s="324"/>
      <c r="P5" s="324"/>
      <c r="Q5" s="326"/>
      <c r="R5" s="391"/>
      <c r="S5" s="327"/>
      <c r="T5" s="777"/>
      <c r="U5" s="326"/>
      <c r="V5" s="328"/>
      <c r="Y5" s="1070"/>
      <c r="Z5" s="1132"/>
      <c r="AA5" s="1071"/>
      <c r="AB5" s="1071"/>
      <c r="AC5" s="1071"/>
      <c r="AD5" s="1071"/>
      <c r="AE5" s="1072"/>
      <c r="AF5" s="1073"/>
      <c r="AG5" s="1074"/>
      <c r="AH5" s="1073"/>
      <c r="AI5" s="1075"/>
      <c r="AJ5" s="1076"/>
      <c r="AK5" s="282"/>
      <c r="AL5" s="280"/>
    </row>
    <row r="6" spans="2:40" ht="12.75" customHeight="1" x14ac:dyDescent="0.3">
      <c r="B6" s="61"/>
      <c r="C6" s="62"/>
      <c r="D6" s="302"/>
      <c r="E6" s="78"/>
      <c r="F6" s="79"/>
      <c r="G6" s="303"/>
      <c r="H6" s="304"/>
      <c r="I6" s="304"/>
      <c r="J6" s="305"/>
      <c r="K6" s="62"/>
      <c r="L6" s="304"/>
      <c r="M6" s="304"/>
      <c r="N6" s="304"/>
      <c r="O6" s="304"/>
      <c r="P6" s="304"/>
      <c r="Q6" s="62"/>
      <c r="R6" s="162"/>
      <c r="S6" s="306"/>
      <c r="T6" s="776"/>
      <c r="U6" s="62"/>
      <c r="V6" s="65"/>
      <c r="AE6" s="1077"/>
      <c r="AF6" s="1078"/>
      <c r="AI6" s="1079"/>
      <c r="AJ6" s="1080"/>
      <c r="AK6" s="283"/>
      <c r="AL6" s="18"/>
    </row>
    <row r="7" spans="2:40" s="284" customFormat="1" ht="12.75" customHeight="1" x14ac:dyDescent="0.3">
      <c r="B7" s="329"/>
      <c r="C7" s="330"/>
      <c r="D7" s="331"/>
      <c r="E7" s="332"/>
      <c r="F7" s="333"/>
      <c r="G7" s="334"/>
      <c r="H7" s="335"/>
      <c r="I7" s="335"/>
      <c r="J7" s="336"/>
      <c r="K7" s="330"/>
      <c r="L7" s="335"/>
      <c r="M7" s="335"/>
      <c r="N7" s="335"/>
      <c r="O7" s="335"/>
      <c r="P7" s="335"/>
      <c r="Q7" s="330"/>
      <c r="R7" s="392"/>
      <c r="S7" s="337"/>
      <c r="T7" s="652"/>
      <c r="U7" s="330"/>
      <c r="V7" s="338"/>
      <c r="Y7" s="1081"/>
      <c r="Z7" s="1082"/>
      <c r="AA7" s="1082"/>
      <c r="AB7" s="1082"/>
      <c r="AC7" s="1082"/>
      <c r="AD7" s="1082"/>
      <c r="AE7" s="1083"/>
      <c r="AF7" s="1084"/>
      <c r="AG7" s="1085"/>
      <c r="AH7" s="1086"/>
      <c r="AI7" s="1087"/>
      <c r="AJ7" s="1088"/>
      <c r="AK7" s="288"/>
      <c r="AL7" s="286"/>
    </row>
    <row r="8" spans="2:40" s="284" customFormat="1" ht="12.75" customHeight="1" x14ac:dyDescent="0.3">
      <c r="B8" s="329"/>
      <c r="C8" s="62" t="s">
        <v>180</v>
      </c>
      <c r="D8" s="302"/>
      <c r="E8" s="197" t="str">
        <f>tab!B2</f>
        <v>2020/21</v>
      </c>
      <c r="F8" s="333"/>
      <c r="G8" s="334"/>
      <c r="H8" s="335"/>
      <c r="I8" s="335"/>
      <c r="J8" s="336"/>
      <c r="K8" s="330"/>
      <c r="L8" s="335"/>
      <c r="M8" s="335"/>
      <c r="N8" s="335"/>
      <c r="O8" s="335"/>
      <c r="P8" s="335"/>
      <c r="Q8" s="330"/>
      <c r="R8" s="392"/>
      <c r="S8" s="337"/>
      <c r="T8" s="652"/>
      <c r="U8" s="330"/>
      <c r="V8" s="338"/>
      <c r="Y8" s="1081"/>
      <c r="Z8" s="1082"/>
      <c r="AA8" s="1082"/>
      <c r="AB8" s="1082"/>
      <c r="AC8" s="1082"/>
      <c r="AD8" s="1082"/>
      <c r="AE8" s="1083"/>
      <c r="AF8" s="1084"/>
      <c r="AG8" s="1085"/>
      <c r="AH8" s="1086"/>
      <c r="AI8" s="1087"/>
      <c r="AJ8" s="1088"/>
      <c r="AK8" s="288"/>
      <c r="AL8" s="286"/>
    </row>
    <row r="9" spans="2:40" ht="12.75" customHeight="1" x14ac:dyDescent="0.3">
      <c r="B9" s="61"/>
      <c r="C9" s="78" t="s">
        <v>193</v>
      </c>
      <c r="D9" s="302"/>
      <c r="E9" s="339">
        <f>tab!C3</f>
        <v>44105</v>
      </c>
      <c r="F9" s="64"/>
      <c r="G9" s="340"/>
      <c r="H9" s="304"/>
      <c r="I9" s="304"/>
      <c r="J9" s="305"/>
      <c r="K9" s="62"/>
      <c r="L9" s="304"/>
      <c r="M9" s="304"/>
      <c r="N9" s="304"/>
      <c r="O9" s="304"/>
      <c r="P9" s="304"/>
      <c r="Q9" s="62"/>
      <c r="R9" s="162"/>
      <c r="S9" s="306"/>
      <c r="T9" s="776"/>
      <c r="U9" s="62"/>
      <c r="V9" s="65"/>
      <c r="AE9" s="1077"/>
      <c r="AF9" s="1078"/>
      <c r="AI9" s="1079"/>
      <c r="AJ9" s="1080"/>
      <c r="AK9" s="283"/>
      <c r="AL9" s="18"/>
    </row>
    <row r="10" spans="2:40" ht="12.75" customHeight="1" x14ac:dyDescent="0.3">
      <c r="B10" s="61"/>
      <c r="C10" s="62"/>
      <c r="D10" s="331"/>
      <c r="E10" s="341"/>
      <c r="F10" s="49" t="s">
        <v>636</v>
      </c>
      <c r="G10" s="340"/>
      <c r="H10" s="304"/>
      <c r="I10" s="304"/>
      <c r="J10" s="305"/>
      <c r="K10" s="62"/>
      <c r="L10" s="304"/>
      <c r="M10" s="304"/>
      <c r="N10" s="304"/>
      <c r="O10" s="304"/>
      <c r="P10" s="304"/>
      <c r="Q10" s="62"/>
      <c r="R10" s="162"/>
      <c r="S10" s="306"/>
      <c r="T10" s="776"/>
      <c r="U10" s="62"/>
      <c r="V10" s="65"/>
      <c r="AE10" s="1077"/>
      <c r="AF10" s="1078"/>
      <c r="AI10" s="1079"/>
      <c r="AJ10" s="1080"/>
      <c r="AK10" s="283"/>
      <c r="AL10" s="18"/>
    </row>
    <row r="11" spans="2:40" ht="12.75" customHeight="1" x14ac:dyDescent="0.3">
      <c r="B11" s="61"/>
      <c r="C11" s="163"/>
      <c r="D11" s="357"/>
      <c r="E11" s="358"/>
      <c r="F11" s="164"/>
      <c r="G11" s="360"/>
      <c r="H11" s="361"/>
      <c r="I11" s="361"/>
      <c r="J11" s="362"/>
      <c r="K11" s="108"/>
      <c r="L11" s="361"/>
      <c r="M11" s="361"/>
      <c r="N11" s="361"/>
      <c r="O11" s="361"/>
      <c r="P11" s="361"/>
      <c r="Q11" s="108"/>
      <c r="R11" s="393"/>
      <c r="S11" s="363"/>
      <c r="T11" s="778"/>
      <c r="U11" s="109"/>
      <c r="V11" s="65"/>
      <c r="AE11" s="1077"/>
      <c r="AF11" s="1078"/>
      <c r="AI11" s="1079"/>
      <c r="AJ11" s="1080"/>
      <c r="AK11" s="283"/>
      <c r="AL11" s="18"/>
    </row>
    <row r="12" spans="2:40" s="236" customFormat="1" ht="12.75" customHeight="1" x14ac:dyDescent="0.3">
      <c r="B12" s="381"/>
      <c r="C12" s="382"/>
      <c r="D12" s="1033" t="s">
        <v>284</v>
      </c>
      <c r="E12" s="883"/>
      <c r="F12" s="883"/>
      <c r="G12" s="883"/>
      <c r="H12" s="1036"/>
      <c r="I12" s="1036"/>
      <c r="J12" s="1036"/>
      <c r="K12" s="1174"/>
      <c r="L12" s="1033" t="s">
        <v>502</v>
      </c>
      <c r="M12" s="1035"/>
      <c r="N12" s="1033"/>
      <c r="O12" s="1033"/>
      <c r="P12" s="1133"/>
      <c r="Q12" s="902"/>
      <c r="R12" s="1033" t="s">
        <v>503</v>
      </c>
      <c r="S12" s="1036"/>
      <c r="T12" s="1134"/>
      <c r="U12" s="1135"/>
      <c r="V12" s="383"/>
      <c r="W12" s="384"/>
      <c r="X12" s="384"/>
      <c r="Y12" s="1063"/>
      <c r="Z12" s="1136"/>
      <c r="AA12" s="1063"/>
      <c r="AB12" s="1063"/>
      <c r="AC12" s="1063"/>
      <c r="AD12" s="1137"/>
      <c r="AE12" s="1137"/>
      <c r="AF12" s="1066"/>
      <c r="AG12" s="1090"/>
      <c r="AH12" s="1091"/>
      <c r="AI12" s="1066"/>
      <c r="AJ12" s="1066"/>
      <c r="AM12" s="384"/>
      <c r="AN12" s="384"/>
    </row>
    <row r="13" spans="2:40" s="236" customFormat="1" ht="12.75" customHeight="1" x14ac:dyDescent="0.3">
      <c r="B13" s="381"/>
      <c r="C13" s="382"/>
      <c r="D13" s="903" t="s">
        <v>494</v>
      </c>
      <c r="E13" s="877" t="s">
        <v>181</v>
      </c>
      <c r="F13" s="904" t="s">
        <v>137</v>
      </c>
      <c r="G13" s="905" t="s">
        <v>273</v>
      </c>
      <c r="H13" s="904" t="s">
        <v>206</v>
      </c>
      <c r="I13" s="904" t="s">
        <v>225</v>
      </c>
      <c r="J13" s="906" t="s">
        <v>187</v>
      </c>
      <c r="K13" s="881"/>
      <c r="L13" s="907" t="s">
        <v>479</v>
      </c>
      <c r="M13" s="907" t="s">
        <v>480</v>
      </c>
      <c r="N13" s="907" t="s">
        <v>478</v>
      </c>
      <c r="O13" s="907" t="s">
        <v>479</v>
      </c>
      <c r="P13" s="1138" t="s">
        <v>504</v>
      </c>
      <c r="Q13" s="881"/>
      <c r="R13" s="1037" t="s">
        <v>192</v>
      </c>
      <c r="S13" s="909" t="s">
        <v>505</v>
      </c>
      <c r="T13" s="910" t="s">
        <v>192</v>
      </c>
      <c r="U13" s="1139"/>
      <c r="V13" s="385"/>
      <c r="W13" s="386"/>
      <c r="X13" s="386"/>
      <c r="Y13" s="915" t="s">
        <v>303</v>
      </c>
      <c r="Z13" s="1127" t="s">
        <v>497</v>
      </c>
      <c r="AA13" s="1101" t="s">
        <v>498</v>
      </c>
      <c r="AB13" s="1101" t="s">
        <v>498</v>
      </c>
      <c r="AC13" s="1101" t="s">
        <v>495</v>
      </c>
      <c r="AD13" s="1048" t="s">
        <v>488</v>
      </c>
      <c r="AE13" s="1048" t="s">
        <v>489</v>
      </c>
      <c r="AF13" s="916" t="s">
        <v>490</v>
      </c>
      <c r="AG13" s="1092" t="s">
        <v>297</v>
      </c>
      <c r="AH13" s="1091" t="s">
        <v>427</v>
      </c>
      <c r="AI13" s="1066"/>
      <c r="AJ13" s="1066"/>
      <c r="AM13" s="384"/>
      <c r="AN13" s="386"/>
    </row>
    <row r="14" spans="2:40" s="236" customFormat="1" ht="12.75" customHeight="1" x14ac:dyDescent="0.3">
      <c r="B14" s="381"/>
      <c r="C14" s="382"/>
      <c r="D14" s="911"/>
      <c r="E14" s="877"/>
      <c r="F14" s="904" t="s">
        <v>138</v>
      </c>
      <c r="G14" s="905" t="s">
        <v>274</v>
      </c>
      <c r="H14" s="904"/>
      <c r="I14" s="904"/>
      <c r="J14" s="906" t="s">
        <v>276</v>
      </c>
      <c r="K14" s="881"/>
      <c r="L14" s="907" t="s">
        <v>482</v>
      </c>
      <c r="M14" s="907" t="s">
        <v>483</v>
      </c>
      <c r="N14" s="907" t="s">
        <v>481</v>
      </c>
      <c r="O14" s="907" t="s">
        <v>493</v>
      </c>
      <c r="P14" s="1138" t="s">
        <v>269</v>
      </c>
      <c r="Q14" s="881"/>
      <c r="R14" s="908" t="s">
        <v>506</v>
      </c>
      <c r="S14" s="909" t="s">
        <v>484</v>
      </c>
      <c r="T14" s="910" t="s">
        <v>269</v>
      </c>
      <c r="U14" s="887"/>
      <c r="V14" s="135"/>
      <c r="W14" s="129"/>
      <c r="X14" s="129"/>
      <c r="Y14" s="915" t="s">
        <v>197</v>
      </c>
      <c r="Z14" s="1129">
        <f>tab!B$50</f>
        <v>0.6</v>
      </c>
      <c r="AA14" s="1101" t="s">
        <v>499</v>
      </c>
      <c r="AB14" s="1101" t="s">
        <v>500</v>
      </c>
      <c r="AC14" s="1101" t="s">
        <v>501</v>
      </c>
      <c r="AD14" s="1048" t="s">
        <v>491</v>
      </c>
      <c r="AE14" s="1048" t="s">
        <v>491</v>
      </c>
      <c r="AF14" s="916" t="s">
        <v>492</v>
      </c>
      <c r="AG14" s="1092"/>
      <c r="AH14" s="1093" t="s">
        <v>224</v>
      </c>
      <c r="AI14" s="1066"/>
      <c r="AJ14" s="1066"/>
      <c r="AN14" s="387"/>
    </row>
    <row r="15" spans="2:40" ht="12.75" customHeight="1" x14ac:dyDescent="0.3">
      <c r="B15" s="61"/>
      <c r="C15" s="114"/>
      <c r="D15" s="367"/>
      <c r="E15" s="367"/>
      <c r="F15" s="367"/>
      <c r="G15" s="367"/>
      <c r="H15" s="367"/>
      <c r="I15" s="367"/>
      <c r="J15" s="367"/>
      <c r="K15" s="365"/>
      <c r="L15" s="367"/>
      <c r="M15" s="367"/>
      <c r="N15" s="367"/>
      <c r="O15" s="367"/>
      <c r="P15" s="367"/>
      <c r="Q15" s="365"/>
      <c r="R15" s="773"/>
      <c r="S15" s="368"/>
      <c r="T15" s="779"/>
      <c r="U15" s="113"/>
      <c r="V15" s="65"/>
      <c r="Y15" s="915"/>
      <c r="Z15" s="1064"/>
      <c r="AA15" s="1064"/>
      <c r="AB15" s="1064"/>
      <c r="AC15" s="1064"/>
      <c r="AD15" s="1048"/>
      <c r="AE15" s="1048"/>
      <c r="AF15" s="1063"/>
      <c r="AG15" s="1092"/>
      <c r="AH15" s="1093"/>
      <c r="AK15" s="8"/>
      <c r="AL15" s="8"/>
      <c r="AN15" s="291"/>
    </row>
    <row r="16" spans="2:40" ht="12.75" customHeight="1" x14ac:dyDescent="0.3">
      <c r="B16" s="61"/>
      <c r="C16" s="114"/>
      <c r="D16" s="353"/>
      <c r="E16" s="388" t="s">
        <v>510</v>
      </c>
      <c r="F16" s="105"/>
      <c r="G16" s="354"/>
      <c r="H16" s="389" t="s">
        <v>142</v>
      </c>
      <c r="I16" s="355">
        <v>3</v>
      </c>
      <c r="J16" s="711">
        <v>1</v>
      </c>
      <c r="K16" s="370"/>
      <c r="L16" s="1038">
        <v>130</v>
      </c>
      <c r="M16" s="1038">
        <v>170</v>
      </c>
      <c r="N16" s="1051">
        <f t="shared" ref="N16" si="0">IF(J16="","",IF((J16*40)&gt;40,40,((J16*40))))</f>
        <v>40</v>
      </c>
      <c r="O16" s="1051"/>
      <c r="P16" s="1125">
        <f t="shared" ref="P16" si="1">IF(J16="","",(SUM(L16:O16)))</f>
        <v>340</v>
      </c>
      <c r="Q16" s="472"/>
      <c r="R16" s="923">
        <f>IF(J16="","",(((1659*J16)-P16)*AB16))</f>
        <v>21924.499095840867</v>
      </c>
      <c r="S16" s="923">
        <f t="shared" ref="S16" si="2">IF(J16="","",(P16*AC16)+(AA16*AD16)+((AE16*AA16*(1-AF16))))</f>
        <v>4093.1826401446647</v>
      </c>
      <c r="T16" s="925">
        <f t="shared" ref="T16" si="3">IF(J16="","",(R16+S16))</f>
        <v>26017.68173598553</v>
      </c>
      <c r="U16" s="236"/>
      <c r="V16" s="712"/>
      <c r="W16" s="709"/>
      <c r="X16" s="709"/>
      <c r="Y16" s="1095">
        <f t="shared" ref="Y16:Y25" si="4">IF(H16="","",5/12*VLOOKUP(H16,salaris2019,I16+1,FALSE))</f>
        <v>1436.25</v>
      </c>
      <c r="Z16" s="1094">
        <f>tab!B$50</f>
        <v>0.6</v>
      </c>
      <c r="AA16" s="1126">
        <f t="shared" ref="AA16" si="5">(Y16*12/1659)</f>
        <v>10.38878842676311</v>
      </c>
      <c r="AB16" s="1126">
        <f t="shared" ref="AB16" si="6">(Y16*12*(1+Z16))/1659</f>
        <v>16.622061482820975</v>
      </c>
      <c r="AC16" s="1126">
        <f t="shared" ref="AC16" si="7">AB16-AA16</f>
        <v>6.2332730560578646</v>
      </c>
      <c r="AD16" s="1128">
        <f t="shared" ref="AD16" si="8">(N16+O16)</f>
        <v>40</v>
      </c>
      <c r="AE16" s="1128">
        <f t="shared" ref="AE16" si="9">(L16+M16)</f>
        <v>300</v>
      </c>
      <c r="AF16" s="1096">
        <f>IF(H16&gt;8,tab!$B$51,tab!$B$54)</f>
        <v>0.5</v>
      </c>
      <c r="AG16" s="1097">
        <f t="shared" ref="AG16:AG25" si="10">IF(F16&lt;25,0,IF(F16=25,25,IF(F16&lt;40,0,IF(F16=40,40,IF(F16&gt;=40,0)))))</f>
        <v>0</v>
      </c>
      <c r="AH16" s="1093">
        <f t="shared" ref="AH16:AH25" si="11">IF(AG16=25,(Y16*1.08*(J16)/2),IF(AG16=40,(Y16*1.08*(J16)),IF(AG16=0,0)))</f>
        <v>0</v>
      </c>
      <c r="AK16" s="8"/>
      <c r="AL16" s="8"/>
      <c r="AM16" s="291"/>
      <c r="AN16" s="237"/>
    </row>
    <row r="17" spans="2:40" ht="12.75" customHeight="1" x14ac:dyDescent="0.3">
      <c r="B17" s="61"/>
      <c r="C17" s="114"/>
      <c r="D17" s="353"/>
      <c r="E17" s="388"/>
      <c r="F17" s="105"/>
      <c r="G17" s="354"/>
      <c r="H17" s="389"/>
      <c r="I17" s="355"/>
      <c r="J17" s="356"/>
      <c r="K17" s="370"/>
      <c r="L17" s="1038"/>
      <c r="M17" s="1038"/>
      <c r="N17" s="1051" t="str">
        <f t="shared" ref="N17:N25" si="12">IF(J17="","",IF((J17*40)&gt;40,40,((J17*40))))</f>
        <v/>
      </c>
      <c r="O17" s="1051"/>
      <c r="P17" s="1125" t="str">
        <f t="shared" ref="P17:P25" si="13">IF(J17="","",(SUM(L17:O17)))</f>
        <v/>
      </c>
      <c r="Q17" s="472"/>
      <c r="R17" s="923" t="str">
        <f t="shared" ref="R17:R25" si="14">IF(J17="","",(((1659*J17)-P17)*AB17))</f>
        <v/>
      </c>
      <c r="S17" s="923" t="str">
        <f t="shared" ref="S17:S25" si="15">IF(J17="","",(P17*AC17)+(AA17*AD17)+((AE17*AA17*(1-AF17))))</f>
        <v/>
      </c>
      <c r="T17" s="925" t="str">
        <f t="shared" ref="T17:T25" si="16">IF(J17="","",(R17+S17))</f>
        <v/>
      </c>
      <c r="U17" s="236"/>
      <c r="V17" s="712"/>
      <c r="W17" s="709"/>
      <c r="X17" s="709"/>
      <c r="Y17" s="1095" t="str">
        <f t="shared" si="4"/>
        <v/>
      </c>
      <c r="Z17" s="1094">
        <f>tab!B$50</f>
        <v>0.6</v>
      </c>
      <c r="AA17" s="1126" t="e">
        <f t="shared" ref="AA17:AA26" si="17">(Y17*12/1659)</f>
        <v>#VALUE!</v>
      </c>
      <c r="AB17" s="1126" t="e">
        <f t="shared" ref="AB17:AB25" si="18">(Y17*12*(1+Z17))/1659</f>
        <v>#VALUE!</v>
      </c>
      <c r="AC17" s="1126" t="e">
        <f t="shared" ref="AC17:AC25" si="19">AB17-AA17</f>
        <v>#VALUE!</v>
      </c>
      <c r="AD17" s="1128" t="e">
        <f t="shared" ref="AD17:AD25" si="20">(N17+O17)</f>
        <v>#VALUE!</v>
      </c>
      <c r="AE17" s="1128">
        <f t="shared" ref="AE17:AE25" si="21">(L17+M17)</f>
        <v>0</v>
      </c>
      <c r="AF17" s="1096">
        <f>IF(H17&gt;8,tab!$B$51,tab!$B$54)</f>
        <v>0.4</v>
      </c>
      <c r="AG17" s="1097">
        <f t="shared" si="10"/>
        <v>0</v>
      </c>
      <c r="AH17" s="1093">
        <f t="shared" si="11"/>
        <v>0</v>
      </c>
      <c r="AK17" s="8"/>
      <c r="AL17" s="8"/>
      <c r="AM17" s="237"/>
      <c r="AN17" s="291"/>
    </row>
    <row r="18" spans="2:40" ht="12.75" customHeight="1" x14ac:dyDescent="0.3">
      <c r="B18" s="61"/>
      <c r="C18" s="114"/>
      <c r="D18" s="353"/>
      <c r="E18" s="388"/>
      <c r="F18" s="105"/>
      <c r="G18" s="354"/>
      <c r="H18" s="389"/>
      <c r="I18" s="355"/>
      <c r="J18" s="356"/>
      <c r="K18" s="370"/>
      <c r="L18" s="1038"/>
      <c r="M18" s="1038"/>
      <c r="N18" s="1051" t="str">
        <f t="shared" si="12"/>
        <v/>
      </c>
      <c r="O18" s="1051"/>
      <c r="P18" s="1125" t="str">
        <f t="shared" si="13"/>
        <v/>
      </c>
      <c r="Q18" s="472"/>
      <c r="R18" s="923" t="str">
        <f t="shared" si="14"/>
        <v/>
      </c>
      <c r="S18" s="923" t="str">
        <f t="shared" si="15"/>
        <v/>
      </c>
      <c r="T18" s="925" t="str">
        <f t="shared" si="16"/>
        <v/>
      </c>
      <c r="U18" s="236"/>
      <c r="V18" s="712"/>
      <c r="W18" s="709"/>
      <c r="X18" s="709"/>
      <c r="Y18" s="1095" t="str">
        <f t="shared" si="4"/>
        <v/>
      </c>
      <c r="Z18" s="1094">
        <f>tab!B$50</f>
        <v>0.6</v>
      </c>
      <c r="AA18" s="1126" t="e">
        <f t="shared" si="17"/>
        <v>#VALUE!</v>
      </c>
      <c r="AB18" s="1126" t="e">
        <f t="shared" si="18"/>
        <v>#VALUE!</v>
      </c>
      <c r="AC18" s="1126" t="e">
        <f t="shared" si="19"/>
        <v>#VALUE!</v>
      </c>
      <c r="AD18" s="1128" t="e">
        <f t="shared" si="20"/>
        <v>#VALUE!</v>
      </c>
      <c r="AE18" s="1128">
        <f t="shared" si="21"/>
        <v>0</v>
      </c>
      <c r="AF18" s="1096">
        <f>IF(H18&gt;8,tab!$B$51,tab!$B$54)</f>
        <v>0.4</v>
      </c>
      <c r="AG18" s="1097">
        <f t="shared" si="10"/>
        <v>0</v>
      </c>
      <c r="AH18" s="1093">
        <f t="shared" si="11"/>
        <v>0</v>
      </c>
      <c r="AK18" s="8"/>
      <c r="AL18" s="8"/>
      <c r="AM18" s="237"/>
      <c r="AN18" s="291"/>
    </row>
    <row r="19" spans="2:40" ht="12.75" customHeight="1" x14ac:dyDescent="0.3">
      <c r="B19" s="61"/>
      <c r="C19" s="114"/>
      <c r="D19" s="353"/>
      <c r="E19" s="388"/>
      <c r="F19" s="105"/>
      <c r="G19" s="354"/>
      <c r="H19" s="389"/>
      <c r="I19" s="355"/>
      <c r="J19" s="356"/>
      <c r="K19" s="370"/>
      <c r="L19" s="1038"/>
      <c r="M19" s="1038"/>
      <c r="N19" s="1051" t="str">
        <f t="shared" si="12"/>
        <v/>
      </c>
      <c r="O19" s="1051"/>
      <c r="P19" s="1125" t="str">
        <f t="shared" si="13"/>
        <v/>
      </c>
      <c r="Q19" s="472"/>
      <c r="R19" s="923" t="str">
        <f t="shared" si="14"/>
        <v/>
      </c>
      <c r="S19" s="923" t="str">
        <f t="shared" si="15"/>
        <v/>
      </c>
      <c r="T19" s="925" t="str">
        <f t="shared" si="16"/>
        <v/>
      </c>
      <c r="U19" s="236"/>
      <c r="V19" s="712"/>
      <c r="W19" s="709"/>
      <c r="X19" s="709"/>
      <c r="Y19" s="1095" t="str">
        <f t="shared" si="4"/>
        <v/>
      </c>
      <c r="Z19" s="1094">
        <f>tab!B$50</f>
        <v>0.6</v>
      </c>
      <c r="AA19" s="1126" t="e">
        <f t="shared" si="17"/>
        <v>#VALUE!</v>
      </c>
      <c r="AB19" s="1126" t="e">
        <f t="shared" si="18"/>
        <v>#VALUE!</v>
      </c>
      <c r="AC19" s="1126" t="e">
        <f t="shared" si="19"/>
        <v>#VALUE!</v>
      </c>
      <c r="AD19" s="1128" t="e">
        <f t="shared" si="20"/>
        <v>#VALUE!</v>
      </c>
      <c r="AE19" s="1128">
        <f t="shared" si="21"/>
        <v>0</v>
      </c>
      <c r="AF19" s="1096">
        <f>IF(H19&gt;8,tab!$B$51,tab!$B$54)</f>
        <v>0.4</v>
      </c>
      <c r="AG19" s="1097">
        <f t="shared" si="10"/>
        <v>0</v>
      </c>
      <c r="AH19" s="1093">
        <f t="shared" si="11"/>
        <v>0</v>
      </c>
      <c r="AK19" s="8"/>
      <c r="AL19" s="8"/>
      <c r="AM19" s="237"/>
      <c r="AN19" s="291"/>
    </row>
    <row r="20" spans="2:40" ht="12.75" customHeight="1" x14ac:dyDescent="0.3">
      <c r="B20" s="61"/>
      <c r="C20" s="114"/>
      <c r="D20" s="353"/>
      <c r="E20" s="388"/>
      <c r="F20" s="105"/>
      <c r="G20" s="354"/>
      <c r="H20" s="389"/>
      <c r="I20" s="355"/>
      <c r="J20" s="356"/>
      <c r="K20" s="370"/>
      <c r="L20" s="1038"/>
      <c r="M20" s="1038"/>
      <c r="N20" s="1051" t="str">
        <f t="shared" si="12"/>
        <v/>
      </c>
      <c r="O20" s="1051"/>
      <c r="P20" s="1125" t="str">
        <f t="shared" si="13"/>
        <v/>
      </c>
      <c r="Q20" s="472"/>
      <c r="R20" s="923" t="str">
        <f t="shared" si="14"/>
        <v/>
      </c>
      <c r="S20" s="923" t="str">
        <f t="shared" si="15"/>
        <v/>
      </c>
      <c r="T20" s="925" t="str">
        <f t="shared" si="16"/>
        <v/>
      </c>
      <c r="U20" s="236"/>
      <c r="V20" s="712"/>
      <c r="W20" s="709"/>
      <c r="X20" s="709"/>
      <c r="Y20" s="1095" t="str">
        <f t="shared" si="4"/>
        <v/>
      </c>
      <c r="Z20" s="1094">
        <f>tab!B$50</f>
        <v>0.6</v>
      </c>
      <c r="AA20" s="1126" t="e">
        <f t="shared" si="17"/>
        <v>#VALUE!</v>
      </c>
      <c r="AB20" s="1126" t="e">
        <f t="shared" si="18"/>
        <v>#VALUE!</v>
      </c>
      <c r="AC20" s="1126" t="e">
        <f t="shared" si="19"/>
        <v>#VALUE!</v>
      </c>
      <c r="AD20" s="1128" t="e">
        <f t="shared" si="20"/>
        <v>#VALUE!</v>
      </c>
      <c r="AE20" s="1128">
        <f t="shared" si="21"/>
        <v>0</v>
      </c>
      <c r="AF20" s="1096">
        <f>IF(H20&gt;8,tab!$B$51,tab!$B$54)</f>
        <v>0.4</v>
      </c>
      <c r="AG20" s="1097">
        <f t="shared" si="10"/>
        <v>0</v>
      </c>
      <c r="AH20" s="1093">
        <f t="shared" si="11"/>
        <v>0</v>
      </c>
      <c r="AK20" s="8"/>
      <c r="AL20" s="8"/>
      <c r="AM20" s="237"/>
      <c r="AN20" s="291"/>
    </row>
    <row r="21" spans="2:40" ht="12.75" customHeight="1" x14ac:dyDescent="0.3">
      <c r="B21" s="61"/>
      <c r="C21" s="114"/>
      <c r="D21" s="353"/>
      <c r="E21" s="388"/>
      <c r="F21" s="105"/>
      <c r="G21" s="354"/>
      <c r="H21" s="389"/>
      <c r="I21" s="355"/>
      <c r="J21" s="356"/>
      <c r="K21" s="370"/>
      <c r="L21" s="1038"/>
      <c r="M21" s="1038"/>
      <c r="N21" s="1051" t="str">
        <f t="shared" si="12"/>
        <v/>
      </c>
      <c r="O21" s="1051"/>
      <c r="P21" s="1125" t="str">
        <f t="shared" si="13"/>
        <v/>
      </c>
      <c r="Q21" s="472"/>
      <c r="R21" s="923" t="str">
        <f t="shared" si="14"/>
        <v/>
      </c>
      <c r="S21" s="923" t="str">
        <f t="shared" si="15"/>
        <v/>
      </c>
      <c r="T21" s="925" t="str">
        <f t="shared" si="16"/>
        <v/>
      </c>
      <c r="U21" s="236"/>
      <c r="V21" s="712"/>
      <c r="W21" s="709"/>
      <c r="X21" s="709"/>
      <c r="Y21" s="1095" t="str">
        <f t="shared" si="4"/>
        <v/>
      </c>
      <c r="Z21" s="1094">
        <f>tab!B$50</f>
        <v>0.6</v>
      </c>
      <c r="AA21" s="1126" t="e">
        <f t="shared" si="17"/>
        <v>#VALUE!</v>
      </c>
      <c r="AB21" s="1126" t="e">
        <f t="shared" si="18"/>
        <v>#VALUE!</v>
      </c>
      <c r="AC21" s="1126" t="e">
        <f t="shared" si="19"/>
        <v>#VALUE!</v>
      </c>
      <c r="AD21" s="1128" t="e">
        <f t="shared" si="20"/>
        <v>#VALUE!</v>
      </c>
      <c r="AE21" s="1128">
        <f t="shared" si="21"/>
        <v>0</v>
      </c>
      <c r="AF21" s="1096">
        <f>IF(H21&gt;8,tab!$B$51,tab!$B$54)</f>
        <v>0.4</v>
      </c>
      <c r="AG21" s="1097">
        <f t="shared" si="10"/>
        <v>0</v>
      </c>
      <c r="AH21" s="1093">
        <f t="shared" si="11"/>
        <v>0</v>
      </c>
      <c r="AK21" s="8"/>
      <c r="AL21" s="8"/>
      <c r="AM21" s="237"/>
      <c r="AN21" s="291"/>
    </row>
    <row r="22" spans="2:40" ht="12.75" customHeight="1" x14ac:dyDescent="0.3">
      <c r="B22" s="61"/>
      <c r="C22" s="114"/>
      <c r="D22" s="353"/>
      <c r="E22" s="388"/>
      <c r="F22" s="105"/>
      <c r="G22" s="354"/>
      <c r="H22" s="389"/>
      <c r="I22" s="355"/>
      <c r="J22" s="356"/>
      <c r="K22" s="370"/>
      <c r="L22" s="1038"/>
      <c r="M22" s="1038"/>
      <c r="N22" s="1051" t="str">
        <f t="shared" si="12"/>
        <v/>
      </c>
      <c r="O22" s="1051"/>
      <c r="P22" s="1125" t="str">
        <f t="shared" si="13"/>
        <v/>
      </c>
      <c r="Q22" s="472"/>
      <c r="R22" s="923" t="str">
        <f t="shared" si="14"/>
        <v/>
      </c>
      <c r="S22" s="923" t="str">
        <f t="shared" si="15"/>
        <v/>
      </c>
      <c r="T22" s="925" t="str">
        <f t="shared" si="16"/>
        <v/>
      </c>
      <c r="U22" s="236"/>
      <c r="V22" s="712"/>
      <c r="W22" s="709"/>
      <c r="X22" s="709"/>
      <c r="Y22" s="1095" t="str">
        <f t="shared" si="4"/>
        <v/>
      </c>
      <c r="Z22" s="1094">
        <f>tab!B$50</f>
        <v>0.6</v>
      </c>
      <c r="AA22" s="1126" t="e">
        <f t="shared" si="17"/>
        <v>#VALUE!</v>
      </c>
      <c r="AB22" s="1126" t="e">
        <f t="shared" si="18"/>
        <v>#VALUE!</v>
      </c>
      <c r="AC22" s="1126" t="e">
        <f t="shared" si="19"/>
        <v>#VALUE!</v>
      </c>
      <c r="AD22" s="1128" t="e">
        <f t="shared" si="20"/>
        <v>#VALUE!</v>
      </c>
      <c r="AE22" s="1128">
        <f t="shared" si="21"/>
        <v>0</v>
      </c>
      <c r="AF22" s="1096">
        <f>IF(H22&gt;8,tab!$B$51,tab!$B$54)</f>
        <v>0.4</v>
      </c>
      <c r="AG22" s="1097">
        <f t="shared" si="10"/>
        <v>0</v>
      </c>
      <c r="AH22" s="1093">
        <f t="shared" si="11"/>
        <v>0</v>
      </c>
      <c r="AK22" s="8"/>
      <c r="AL22" s="8"/>
      <c r="AM22" s="237"/>
      <c r="AN22" s="291"/>
    </row>
    <row r="23" spans="2:40" ht="12.75" customHeight="1" x14ac:dyDescent="0.3">
      <c r="B23" s="61"/>
      <c r="C23" s="114"/>
      <c r="D23" s="353"/>
      <c r="E23" s="388"/>
      <c r="F23" s="105"/>
      <c r="G23" s="354"/>
      <c r="H23" s="389"/>
      <c r="I23" s="355"/>
      <c r="J23" s="356"/>
      <c r="K23" s="370"/>
      <c r="L23" s="1038"/>
      <c r="M23" s="1038"/>
      <c r="N23" s="1051" t="str">
        <f t="shared" si="12"/>
        <v/>
      </c>
      <c r="O23" s="1051"/>
      <c r="P23" s="1125" t="str">
        <f t="shared" si="13"/>
        <v/>
      </c>
      <c r="Q23" s="472"/>
      <c r="R23" s="923" t="str">
        <f t="shared" si="14"/>
        <v/>
      </c>
      <c r="S23" s="923" t="str">
        <f t="shared" si="15"/>
        <v/>
      </c>
      <c r="T23" s="925" t="str">
        <f t="shared" si="16"/>
        <v/>
      </c>
      <c r="U23" s="236"/>
      <c r="V23" s="712"/>
      <c r="W23" s="709"/>
      <c r="X23" s="709"/>
      <c r="Y23" s="1095" t="str">
        <f t="shared" si="4"/>
        <v/>
      </c>
      <c r="Z23" s="1094">
        <f>tab!B$50</f>
        <v>0.6</v>
      </c>
      <c r="AA23" s="1126" t="e">
        <f t="shared" si="17"/>
        <v>#VALUE!</v>
      </c>
      <c r="AB23" s="1126" t="e">
        <f t="shared" si="18"/>
        <v>#VALUE!</v>
      </c>
      <c r="AC23" s="1126" t="e">
        <f t="shared" si="19"/>
        <v>#VALUE!</v>
      </c>
      <c r="AD23" s="1128" t="e">
        <f t="shared" si="20"/>
        <v>#VALUE!</v>
      </c>
      <c r="AE23" s="1128">
        <f t="shared" si="21"/>
        <v>0</v>
      </c>
      <c r="AF23" s="1096">
        <f>IF(H23&gt;8,tab!$B$51,tab!$B$54)</f>
        <v>0.4</v>
      </c>
      <c r="AG23" s="1097">
        <f t="shared" si="10"/>
        <v>0</v>
      </c>
      <c r="AH23" s="1093">
        <f t="shared" si="11"/>
        <v>0</v>
      </c>
      <c r="AK23" s="8"/>
      <c r="AL23" s="8"/>
      <c r="AM23" s="237"/>
      <c r="AN23" s="291"/>
    </row>
    <row r="24" spans="2:40" ht="12.75" customHeight="1" x14ac:dyDescent="0.3">
      <c r="B24" s="61"/>
      <c r="C24" s="114"/>
      <c r="D24" s="353"/>
      <c r="E24" s="388"/>
      <c r="F24" s="105"/>
      <c r="G24" s="354"/>
      <c r="H24" s="389"/>
      <c r="I24" s="355"/>
      <c r="J24" s="356"/>
      <c r="K24" s="370"/>
      <c r="L24" s="1038"/>
      <c r="M24" s="1038"/>
      <c r="N24" s="1051" t="str">
        <f t="shared" si="12"/>
        <v/>
      </c>
      <c r="O24" s="1051"/>
      <c r="P24" s="1125" t="str">
        <f t="shared" si="13"/>
        <v/>
      </c>
      <c r="Q24" s="472"/>
      <c r="R24" s="923" t="str">
        <f t="shared" si="14"/>
        <v/>
      </c>
      <c r="S24" s="923" t="str">
        <f t="shared" si="15"/>
        <v/>
      </c>
      <c r="T24" s="925" t="str">
        <f t="shared" si="16"/>
        <v/>
      </c>
      <c r="U24" s="236"/>
      <c r="V24" s="712"/>
      <c r="W24" s="709"/>
      <c r="X24" s="709"/>
      <c r="Y24" s="1095" t="str">
        <f t="shared" si="4"/>
        <v/>
      </c>
      <c r="Z24" s="1094">
        <f>tab!B$50</f>
        <v>0.6</v>
      </c>
      <c r="AA24" s="1126" t="e">
        <f t="shared" si="17"/>
        <v>#VALUE!</v>
      </c>
      <c r="AB24" s="1126" t="e">
        <f t="shared" si="18"/>
        <v>#VALUE!</v>
      </c>
      <c r="AC24" s="1126" t="e">
        <f t="shared" si="19"/>
        <v>#VALUE!</v>
      </c>
      <c r="AD24" s="1128" t="e">
        <f t="shared" si="20"/>
        <v>#VALUE!</v>
      </c>
      <c r="AE24" s="1128">
        <f t="shared" si="21"/>
        <v>0</v>
      </c>
      <c r="AF24" s="1096">
        <f>IF(H24&gt;8,tab!$B$51,tab!$B$54)</f>
        <v>0.4</v>
      </c>
      <c r="AG24" s="1097">
        <f t="shared" si="10"/>
        <v>0</v>
      </c>
      <c r="AH24" s="1093">
        <f t="shared" si="11"/>
        <v>0</v>
      </c>
      <c r="AK24" s="8"/>
      <c r="AL24" s="8"/>
      <c r="AM24" s="237"/>
      <c r="AN24" s="291"/>
    </row>
    <row r="25" spans="2:40" ht="12.75" customHeight="1" x14ac:dyDescent="0.3">
      <c r="B25" s="61"/>
      <c r="C25" s="114"/>
      <c r="D25" s="353"/>
      <c r="E25" s="388"/>
      <c r="F25" s="105"/>
      <c r="G25" s="354"/>
      <c r="H25" s="389"/>
      <c r="I25" s="355"/>
      <c r="J25" s="356"/>
      <c r="K25" s="370"/>
      <c r="L25" s="1038"/>
      <c r="M25" s="1038"/>
      <c r="N25" s="1051" t="str">
        <f t="shared" si="12"/>
        <v/>
      </c>
      <c r="O25" s="1051"/>
      <c r="P25" s="1125" t="str">
        <f t="shared" si="13"/>
        <v/>
      </c>
      <c r="Q25" s="472"/>
      <c r="R25" s="923" t="str">
        <f t="shared" si="14"/>
        <v/>
      </c>
      <c r="S25" s="923" t="str">
        <f t="shared" si="15"/>
        <v/>
      </c>
      <c r="T25" s="925" t="str">
        <f t="shared" si="16"/>
        <v/>
      </c>
      <c r="U25" s="236"/>
      <c r="V25" s="712"/>
      <c r="W25" s="709"/>
      <c r="X25" s="709"/>
      <c r="Y25" s="1095" t="str">
        <f t="shared" si="4"/>
        <v/>
      </c>
      <c r="Z25" s="1094">
        <f>tab!B$50</f>
        <v>0.6</v>
      </c>
      <c r="AA25" s="1126" t="e">
        <f t="shared" si="17"/>
        <v>#VALUE!</v>
      </c>
      <c r="AB25" s="1126" t="e">
        <f t="shared" si="18"/>
        <v>#VALUE!</v>
      </c>
      <c r="AC25" s="1126" t="e">
        <f t="shared" si="19"/>
        <v>#VALUE!</v>
      </c>
      <c r="AD25" s="1128" t="e">
        <f t="shared" si="20"/>
        <v>#VALUE!</v>
      </c>
      <c r="AE25" s="1128">
        <f t="shared" si="21"/>
        <v>0</v>
      </c>
      <c r="AF25" s="1096">
        <f>IF(H25&gt;8,tab!$B$51,tab!$B$54)</f>
        <v>0.4</v>
      </c>
      <c r="AG25" s="1097">
        <f t="shared" si="10"/>
        <v>0</v>
      </c>
      <c r="AH25" s="1093">
        <f t="shared" si="11"/>
        <v>0</v>
      </c>
      <c r="AK25" s="8"/>
      <c r="AL25" s="8"/>
      <c r="AM25" s="237"/>
      <c r="AN25" s="291"/>
    </row>
    <row r="26" spans="2:40" ht="12.75" customHeight="1" x14ac:dyDescent="0.3">
      <c r="B26" s="61"/>
      <c r="C26" s="114"/>
      <c r="D26" s="166"/>
      <c r="E26" s="212"/>
      <c r="F26" s="372"/>
      <c r="G26" s="373"/>
      <c r="H26" s="116"/>
      <c r="I26" s="116"/>
      <c r="J26" s="919">
        <f>SUM(J16:J25)</f>
        <v>1</v>
      </c>
      <c r="K26" s="372"/>
      <c r="L26" s="1039">
        <f t="shared" ref="L26:P26" si="22">SUM(L16:L25)</f>
        <v>130</v>
      </c>
      <c r="M26" s="1039">
        <f t="shared" si="22"/>
        <v>170</v>
      </c>
      <c r="N26" s="1039">
        <f>SUM(N16:N25)</f>
        <v>40</v>
      </c>
      <c r="O26" s="1039"/>
      <c r="P26" s="1039">
        <f t="shared" si="22"/>
        <v>340</v>
      </c>
      <c r="Q26" s="372"/>
      <c r="R26" s="920">
        <f t="shared" ref="R26:T26" si="23">SUM(R16:R25)</f>
        <v>21924.499095840867</v>
      </c>
      <c r="S26" s="921">
        <f t="shared" si="23"/>
        <v>4093.1826401446647</v>
      </c>
      <c r="T26" s="920">
        <f t="shared" si="23"/>
        <v>26017.68173598553</v>
      </c>
      <c r="U26" s="371"/>
      <c r="V26" s="342"/>
      <c r="W26" s="293"/>
      <c r="X26" s="18"/>
      <c r="Y26" s="1098">
        <f>SUM(Y16:Y25)</f>
        <v>1436.25</v>
      </c>
      <c r="Z26" s="1130"/>
      <c r="AA26" s="1098">
        <f t="shared" si="17"/>
        <v>10.38878842676311</v>
      </c>
      <c r="AB26" s="1098"/>
      <c r="AC26" s="1098"/>
      <c r="AD26" s="1090"/>
      <c r="AE26" s="1063"/>
      <c r="AF26" s="1063"/>
      <c r="AG26" s="1099"/>
      <c r="AH26" s="1100"/>
      <c r="AK26" s="8"/>
      <c r="AL26" s="8"/>
      <c r="AM26" s="237"/>
      <c r="AN26" s="291"/>
    </row>
    <row r="27" spans="2:40" ht="12.75" customHeight="1" x14ac:dyDescent="0.3">
      <c r="B27" s="61"/>
      <c r="C27" s="169"/>
      <c r="D27" s="374"/>
      <c r="E27" s="250"/>
      <c r="F27" s="170"/>
      <c r="G27" s="375"/>
      <c r="H27" s="170"/>
      <c r="I27" s="376"/>
      <c r="J27" s="377"/>
      <c r="K27" s="250"/>
      <c r="L27" s="376"/>
      <c r="M27" s="376"/>
      <c r="N27" s="376"/>
      <c r="O27" s="376"/>
      <c r="P27" s="376"/>
      <c r="Q27" s="250"/>
      <c r="R27" s="394"/>
      <c r="S27" s="379"/>
      <c r="T27" s="780"/>
      <c r="U27" s="380"/>
      <c r="V27" s="342"/>
      <c r="W27" s="293"/>
      <c r="X27" s="18"/>
      <c r="Y27" s="1079"/>
      <c r="Z27" s="1130"/>
      <c r="AA27" s="1098"/>
      <c r="AB27" s="1098"/>
      <c r="AC27" s="1098"/>
      <c r="AD27" s="1090"/>
      <c r="AE27" s="1063"/>
      <c r="AF27" s="1063"/>
      <c r="AG27" s="1099"/>
      <c r="AH27" s="1100"/>
      <c r="AK27" s="8"/>
      <c r="AL27" s="8"/>
      <c r="AM27" s="237"/>
      <c r="AN27" s="291"/>
    </row>
    <row r="28" spans="2:40" ht="12.75" customHeight="1" x14ac:dyDescent="0.3">
      <c r="B28" s="61"/>
      <c r="C28" s="62"/>
      <c r="D28" s="302"/>
      <c r="E28" s="78"/>
      <c r="F28" s="79"/>
      <c r="G28" s="303"/>
      <c r="H28" s="79"/>
      <c r="I28" s="304"/>
      <c r="J28" s="305"/>
      <c r="K28" s="78"/>
      <c r="L28" s="304"/>
      <c r="M28" s="304"/>
      <c r="N28" s="304"/>
      <c r="O28" s="304"/>
      <c r="P28" s="304"/>
      <c r="Q28" s="78"/>
      <c r="R28" s="395"/>
      <c r="S28" s="343"/>
      <c r="T28" s="776"/>
      <c r="U28" s="194"/>
      <c r="V28" s="342"/>
      <c r="W28" s="293"/>
      <c r="X28" s="18"/>
      <c r="Y28" s="1079"/>
      <c r="Z28" s="1130"/>
      <c r="AA28" s="1098"/>
      <c r="AB28" s="1098"/>
      <c r="AC28" s="1098"/>
      <c r="AD28" s="1090"/>
      <c r="AE28" s="1063"/>
      <c r="AF28" s="1063"/>
      <c r="AG28" s="1099"/>
      <c r="AH28" s="1100"/>
      <c r="AK28" s="8"/>
      <c r="AL28" s="8"/>
      <c r="AM28" s="237"/>
      <c r="AN28" s="291"/>
    </row>
    <row r="29" spans="2:40" ht="12.75" customHeight="1" x14ac:dyDescent="0.3">
      <c r="B29" s="61"/>
      <c r="C29" s="62"/>
      <c r="D29" s="302"/>
      <c r="E29" s="78"/>
      <c r="F29" s="79"/>
      <c r="G29" s="303"/>
      <c r="H29" s="79"/>
      <c r="I29" s="304"/>
      <c r="J29" s="305"/>
      <c r="K29" s="78"/>
      <c r="L29" s="304"/>
      <c r="M29" s="304"/>
      <c r="N29" s="304"/>
      <c r="O29" s="304"/>
      <c r="P29" s="304"/>
      <c r="Q29" s="78"/>
      <c r="R29" s="395"/>
      <c r="S29" s="343"/>
      <c r="T29" s="776"/>
      <c r="U29" s="194"/>
      <c r="V29" s="342"/>
      <c r="W29" s="293"/>
      <c r="X29" s="18"/>
      <c r="Y29" s="1079"/>
      <c r="Z29" s="1130"/>
      <c r="AA29" s="1098"/>
      <c r="AB29" s="1098"/>
      <c r="AC29" s="1098"/>
      <c r="AD29" s="1090"/>
      <c r="AE29" s="1063"/>
      <c r="AF29" s="1063"/>
      <c r="AG29" s="1099"/>
      <c r="AH29" s="1100"/>
      <c r="AK29" s="8"/>
      <c r="AL29" s="8"/>
      <c r="AM29" s="237"/>
      <c r="AN29" s="291"/>
    </row>
    <row r="30" spans="2:40" ht="12.75" customHeight="1" x14ac:dyDescent="0.3">
      <c r="B30" s="61"/>
      <c r="C30" s="62" t="s">
        <v>180</v>
      </c>
      <c r="D30" s="302"/>
      <c r="E30" s="197" t="str">
        <f>tab!B2</f>
        <v>2020/21</v>
      </c>
      <c r="F30" s="79"/>
      <c r="G30" s="303"/>
      <c r="H30" s="79"/>
      <c r="I30" s="304"/>
      <c r="J30" s="305"/>
      <c r="K30" s="78"/>
      <c r="L30" s="304"/>
      <c r="M30" s="304"/>
      <c r="N30" s="304"/>
      <c r="O30" s="304"/>
      <c r="P30" s="304"/>
      <c r="Q30" s="78"/>
      <c r="R30" s="395"/>
      <c r="S30" s="343"/>
      <c r="T30" s="776"/>
      <c r="U30" s="194"/>
      <c r="V30" s="344"/>
      <c r="W30" s="293"/>
      <c r="X30" s="18"/>
      <c r="Y30" s="1079"/>
      <c r="Z30" s="1130"/>
      <c r="AA30" s="1098"/>
      <c r="AB30" s="1098"/>
      <c r="AC30" s="1098"/>
      <c r="AD30" s="1090"/>
      <c r="AE30" s="1063"/>
      <c r="AF30" s="1063"/>
      <c r="AG30" s="1099"/>
      <c r="AH30" s="1100"/>
      <c r="AK30" s="8"/>
      <c r="AL30" s="8"/>
      <c r="AM30" s="237"/>
      <c r="AN30" s="291"/>
    </row>
    <row r="31" spans="2:40" ht="12.75" customHeight="1" x14ac:dyDescent="0.3">
      <c r="B31" s="61"/>
      <c r="C31" s="78" t="s">
        <v>193</v>
      </c>
      <c r="D31" s="302"/>
      <c r="E31" s="339">
        <v>44197</v>
      </c>
      <c r="F31" s="79"/>
      <c r="G31" s="303"/>
      <c r="H31" s="79"/>
      <c r="I31" s="304"/>
      <c r="J31" s="305"/>
      <c r="K31" s="78"/>
      <c r="L31" s="304"/>
      <c r="M31" s="304"/>
      <c r="N31" s="304"/>
      <c r="O31" s="304"/>
      <c r="P31" s="304"/>
      <c r="Q31" s="78"/>
      <c r="R31" s="395"/>
      <c r="S31" s="343"/>
      <c r="T31" s="776"/>
      <c r="U31" s="194"/>
      <c r="V31" s="344"/>
      <c r="W31" s="293"/>
      <c r="X31" s="18"/>
      <c r="Y31" s="1079"/>
      <c r="Z31" s="1130"/>
      <c r="AA31" s="1098"/>
      <c r="AB31" s="1098"/>
      <c r="AC31" s="1098"/>
      <c r="AD31" s="1090"/>
      <c r="AE31" s="1063"/>
      <c r="AF31" s="1063"/>
      <c r="AG31" s="1099"/>
      <c r="AH31" s="1100"/>
      <c r="AK31" s="8"/>
      <c r="AL31" s="8"/>
      <c r="AM31" s="237"/>
      <c r="AN31" s="291"/>
    </row>
    <row r="32" spans="2:40" ht="12.75" customHeight="1" x14ac:dyDescent="0.3">
      <c r="B32" s="61"/>
      <c r="C32" s="62"/>
      <c r="D32" s="302"/>
      <c r="E32" s="78"/>
      <c r="F32" s="79"/>
      <c r="G32" s="303"/>
      <c r="H32" s="79"/>
      <c r="I32" s="304"/>
      <c r="J32" s="305"/>
      <c r="K32" s="78"/>
      <c r="L32" s="304"/>
      <c r="M32" s="304"/>
      <c r="N32" s="304"/>
      <c r="O32" s="304"/>
      <c r="P32" s="304"/>
      <c r="Q32" s="78"/>
      <c r="R32" s="395"/>
      <c r="S32" s="343"/>
      <c r="T32" s="776"/>
      <c r="U32" s="194"/>
      <c r="V32" s="342"/>
      <c r="W32" s="293"/>
      <c r="X32" s="18"/>
      <c r="Y32" s="1079"/>
      <c r="Z32" s="1130"/>
      <c r="AA32" s="1098"/>
      <c r="AB32" s="1098"/>
      <c r="AC32" s="1098"/>
      <c r="AD32" s="1090"/>
      <c r="AE32" s="1063"/>
      <c r="AF32" s="1063"/>
      <c r="AG32" s="1099"/>
      <c r="AH32" s="1100"/>
      <c r="AK32" s="8"/>
      <c r="AL32" s="8"/>
      <c r="AM32" s="237"/>
      <c r="AN32" s="291"/>
    </row>
    <row r="33" spans="2:40" ht="12.75" customHeight="1" x14ac:dyDescent="0.3">
      <c r="B33" s="61"/>
      <c r="C33" s="163"/>
      <c r="D33" s="357"/>
      <c r="E33" s="358"/>
      <c r="F33" s="164"/>
      <c r="G33" s="360"/>
      <c r="H33" s="361"/>
      <c r="I33" s="361"/>
      <c r="J33" s="362"/>
      <c r="K33" s="108"/>
      <c r="L33" s="361"/>
      <c r="M33" s="361"/>
      <c r="N33" s="361"/>
      <c r="O33" s="361"/>
      <c r="P33" s="361"/>
      <c r="Q33" s="108"/>
      <c r="R33" s="393"/>
      <c r="S33" s="363"/>
      <c r="T33" s="778"/>
      <c r="U33" s="109"/>
      <c r="V33" s="65"/>
      <c r="AE33" s="1077"/>
      <c r="AF33" s="1078"/>
      <c r="AI33" s="1079"/>
      <c r="AJ33" s="1080"/>
      <c r="AK33" s="283"/>
      <c r="AL33" s="18"/>
    </row>
    <row r="34" spans="2:40" s="236" customFormat="1" ht="12.75" customHeight="1" x14ac:dyDescent="0.3">
      <c r="B34" s="381"/>
      <c r="C34" s="382"/>
      <c r="D34" s="1033" t="s">
        <v>284</v>
      </c>
      <c r="E34" s="1033"/>
      <c r="F34" s="1033"/>
      <c r="G34" s="1033"/>
      <c r="H34" s="1033"/>
      <c r="I34" s="1033"/>
      <c r="J34" s="1033"/>
      <c r="K34" s="1033"/>
      <c r="L34" s="1033" t="s">
        <v>502</v>
      </c>
      <c r="M34" s="1035"/>
      <c r="N34" s="1033"/>
      <c r="O34" s="1033"/>
      <c r="P34" s="1133"/>
      <c r="Q34" s="902"/>
      <c r="R34" s="1033" t="s">
        <v>503</v>
      </c>
      <c r="S34" s="1036"/>
      <c r="T34" s="1134"/>
      <c r="U34" s="1135"/>
      <c r="V34" s="383"/>
      <c r="W34" s="384"/>
      <c r="X34" s="384"/>
      <c r="Y34" s="1063"/>
      <c r="Z34" s="1136"/>
      <c r="AA34" s="1063"/>
      <c r="AB34" s="1063"/>
      <c r="AC34" s="1063"/>
      <c r="AD34" s="1137"/>
      <c r="AE34" s="1137"/>
      <c r="AF34" s="1066"/>
      <c r="AG34" s="1090"/>
      <c r="AH34" s="1091"/>
      <c r="AI34" s="1066"/>
      <c r="AJ34" s="1066"/>
      <c r="AM34" s="384"/>
      <c r="AN34" s="384"/>
    </row>
    <row r="35" spans="2:40" s="236" customFormat="1" ht="12.75" customHeight="1" x14ac:dyDescent="0.3">
      <c r="B35" s="381"/>
      <c r="C35" s="382"/>
      <c r="D35" s="903" t="s">
        <v>494</v>
      </c>
      <c r="E35" s="877" t="s">
        <v>181</v>
      </c>
      <c r="F35" s="904" t="s">
        <v>137</v>
      </c>
      <c r="G35" s="905" t="s">
        <v>273</v>
      </c>
      <c r="H35" s="904" t="s">
        <v>206</v>
      </c>
      <c r="I35" s="904" t="s">
        <v>225</v>
      </c>
      <c r="J35" s="906" t="s">
        <v>187</v>
      </c>
      <c r="K35" s="881"/>
      <c r="L35" s="907" t="s">
        <v>479</v>
      </c>
      <c r="M35" s="907" t="s">
        <v>480</v>
      </c>
      <c r="N35" s="907" t="s">
        <v>478</v>
      </c>
      <c r="O35" s="907" t="s">
        <v>479</v>
      </c>
      <c r="P35" s="1138" t="s">
        <v>504</v>
      </c>
      <c r="Q35" s="881"/>
      <c r="R35" s="1037" t="s">
        <v>192</v>
      </c>
      <c r="S35" s="909" t="s">
        <v>505</v>
      </c>
      <c r="T35" s="910" t="s">
        <v>192</v>
      </c>
      <c r="U35" s="1139"/>
      <c r="V35" s="385"/>
      <c r="W35" s="386"/>
      <c r="X35" s="386"/>
      <c r="Y35" s="915" t="s">
        <v>303</v>
      </c>
      <c r="Z35" s="1127" t="s">
        <v>497</v>
      </c>
      <c r="AA35" s="1101" t="s">
        <v>498</v>
      </c>
      <c r="AB35" s="1101" t="s">
        <v>498</v>
      </c>
      <c r="AC35" s="1101" t="s">
        <v>495</v>
      </c>
      <c r="AD35" s="1048" t="s">
        <v>488</v>
      </c>
      <c r="AE35" s="1048" t="s">
        <v>489</v>
      </c>
      <c r="AF35" s="916" t="s">
        <v>490</v>
      </c>
      <c r="AG35" s="1092" t="s">
        <v>297</v>
      </c>
      <c r="AH35" s="1091" t="s">
        <v>427</v>
      </c>
      <c r="AI35" s="1066"/>
      <c r="AJ35" s="1066"/>
      <c r="AM35" s="384"/>
      <c r="AN35" s="386"/>
    </row>
    <row r="36" spans="2:40" s="294" customFormat="1" ht="12.75" customHeight="1" x14ac:dyDescent="0.3">
      <c r="B36" s="345"/>
      <c r="C36" s="382"/>
      <c r="D36" s="911"/>
      <c r="E36" s="877"/>
      <c r="F36" s="904" t="s">
        <v>138</v>
      </c>
      <c r="G36" s="905" t="s">
        <v>274</v>
      </c>
      <c r="H36" s="904"/>
      <c r="I36" s="904"/>
      <c r="J36" s="906" t="s">
        <v>276</v>
      </c>
      <c r="K36" s="881"/>
      <c r="L36" s="907" t="s">
        <v>482</v>
      </c>
      <c r="M36" s="907" t="s">
        <v>483</v>
      </c>
      <c r="N36" s="907" t="s">
        <v>481</v>
      </c>
      <c r="O36" s="907" t="s">
        <v>493</v>
      </c>
      <c r="P36" s="1138" t="s">
        <v>269</v>
      </c>
      <c r="Q36" s="881"/>
      <c r="R36" s="908" t="s">
        <v>506</v>
      </c>
      <c r="S36" s="909" t="s">
        <v>484</v>
      </c>
      <c r="T36" s="910" t="s">
        <v>269</v>
      </c>
      <c r="U36" s="887"/>
      <c r="V36" s="135"/>
      <c r="W36" s="129"/>
      <c r="X36" s="129"/>
      <c r="Y36" s="915" t="s">
        <v>197</v>
      </c>
      <c r="Z36" s="1129">
        <f>tab!B$50</f>
        <v>0.6</v>
      </c>
      <c r="AA36" s="1101" t="s">
        <v>499</v>
      </c>
      <c r="AB36" s="1101" t="s">
        <v>500</v>
      </c>
      <c r="AC36" s="1101" t="s">
        <v>501</v>
      </c>
      <c r="AD36" s="1048" t="s">
        <v>491</v>
      </c>
      <c r="AE36" s="1048" t="s">
        <v>491</v>
      </c>
      <c r="AF36" s="916" t="s">
        <v>492</v>
      </c>
      <c r="AG36" s="1092"/>
      <c r="AH36" s="1093" t="s">
        <v>224</v>
      </c>
      <c r="AI36" s="1063"/>
      <c r="AJ36" s="1063"/>
      <c r="AN36" s="295"/>
    </row>
    <row r="37" spans="2:40" ht="12.75" customHeight="1" x14ac:dyDescent="0.3">
      <c r="B37" s="61"/>
      <c r="C37" s="114"/>
      <c r="D37" s="367"/>
      <c r="E37" s="367"/>
      <c r="F37" s="367"/>
      <c r="G37" s="367"/>
      <c r="H37" s="367"/>
      <c r="I37" s="367"/>
      <c r="J37" s="367"/>
      <c r="K37" s="365"/>
      <c r="L37" s="367"/>
      <c r="M37" s="367"/>
      <c r="N37" s="367"/>
      <c r="O37" s="367"/>
      <c r="P37" s="367"/>
      <c r="Q37" s="365"/>
      <c r="R37" s="773"/>
      <c r="S37" s="368"/>
      <c r="T37" s="779"/>
      <c r="U37" s="113"/>
      <c r="V37" s="65"/>
      <c r="Y37" s="915"/>
      <c r="Z37" s="1064"/>
      <c r="AA37" s="1094"/>
      <c r="AB37" s="1094"/>
      <c r="AC37" s="1094"/>
      <c r="AE37" s="1063"/>
      <c r="AF37" s="1063"/>
      <c r="AG37" s="1092"/>
      <c r="AH37" s="1093"/>
      <c r="AK37" s="8"/>
      <c r="AL37" s="8"/>
      <c r="AN37" s="291"/>
    </row>
    <row r="38" spans="2:40" ht="12.75" customHeight="1" x14ac:dyDescent="0.3">
      <c r="B38" s="61"/>
      <c r="C38" s="114"/>
      <c r="D38" s="353" t="str">
        <f>IF(dir!D16="","",dir!D16)</f>
        <v/>
      </c>
      <c r="E38" s="388" t="str">
        <f>IF(dir!E16="","",dir!E16)</f>
        <v>nn</v>
      </c>
      <c r="F38" s="105" t="str">
        <f>IF(dir!F16="","",dir!F16+1)</f>
        <v/>
      </c>
      <c r="G38" s="354" t="str">
        <f>IF(dir!G16="","",dir!G16)</f>
        <v/>
      </c>
      <c r="H38" s="389" t="s">
        <v>590</v>
      </c>
      <c r="I38" s="355">
        <v>4</v>
      </c>
      <c r="J38" s="356">
        <f>IF(dir!J16="","",dir!J16)</f>
        <v>1</v>
      </c>
      <c r="K38" s="370"/>
      <c r="L38" s="1061">
        <f>IF(dir!L16="",0,dir!L16)</f>
        <v>130</v>
      </c>
      <c r="M38" s="1061">
        <f>IF(dir!M16="",0,dir!M16)</f>
        <v>170</v>
      </c>
      <c r="N38" s="1051">
        <f t="shared" ref="N38:N47" si="24">IF(J38="","",IF((J38*40)&gt;40,40,((J38*40))))</f>
        <v>40</v>
      </c>
      <c r="O38" s="1051"/>
      <c r="P38" s="1125">
        <f t="shared" ref="P38:P47" si="25">IF(J38="","",(SUM(L38:O38)))</f>
        <v>340</v>
      </c>
      <c r="Q38" s="472"/>
      <c r="R38" s="923">
        <f>IF(J38="","",(((1659*J38)-P38)*AB38))</f>
        <v>32769.080168776381</v>
      </c>
      <c r="S38" s="923">
        <f t="shared" ref="S38:S47" si="26">IF(J38="","",(P38*AC38)+(AA38*AD38)+((AE38*AA38*(1-AF38))))</f>
        <v>6117.8059071729967</v>
      </c>
      <c r="T38" s="925">
        <f t="shared" ref="T38:T47" si="27">IF(J38="","",(R38+S38))</f>
        <v>38886.886075949376</v>
      </c>
      <c r="U38" s="236"/>
      <c r="V38" s="712"/>
      <c r="W38" s="709"/>
      <c r="X38" s="709"/>
      <c r="Y38" s="1095">
        <f t="shared" ref="Y38:Y47" si="28">IF(H38="","",7/12*VLOOKUP(H38,salaris2020,I38+1,FALSE))</f>
        <v>2146.666666666667</v>
      </c>
      <c r="Z38" s="1094">
        <f>tab!B$50</f>
        <v>0.6</v>
      </c>
      <c r="AA38" s="1126">
        <f t="shared" ref="AA38:AA48" si="29">(Y38*12/1659)</f>
        <v>15.527426160337555</v>
      </c>
      <c r="AB38" s="1126">
        <f t="shared" ref="AB38:AB47" si="30">(Y38*12*(1+Z38))/1659</f>
        <v>24.84388185654009</v>
      </c>
      <c r="AC38" s="1126">
        <f t="shared" ref="AC38:AC47" si="31">AB38-AA38</f>
        <v>9.3164556962025351</v>
      </c>
      <c r="AD38" s="1128">
        <f t="shared" ref="AD38:AD47" si="32">(N38+O38)</f>
        <v>40</v>
      </c>
      <c r="AE38" s="1128">
        <f t="shared" ref="AE38:AE47" si="33">(L38+M38)</f>
        <v>300</v>
      </c>
      <c r="AF38" s="1096">
        <f>IF(H38&gt;8,tab!$B$51,tab!$B$54)</f>
        <v>0.5</v>
      </c>
      <c r="AG38" s="1097">
        <f t="shared" ref="AG38:AG47" si="34">IF(F38&lt;25,0,IF(F38=25,25,IF(F38&lt;40,0,IF(F38=40,40,IF(F38&gt;=40,0)))))</f>
        <v>0</v>
      </c>
      <c r="AH38" s="1093">
        <f t="shared" ref="AH38:AH47" si="35">IF(AG38=25,(Y38*1.08*(J38)/2),IF(AG38=40,(Y38*1.08*(J38)),IF(AG38=0,0)))</f>
        <v>0</v>
      </c>
      <c r="AI38" s="1102"/>
    </row>
    <row r="39" spans="2:40" ht="12.75" customHeight="1" x14ac:dyDescent="0.3">
      <c r="B39" s="61"/>
      <c r="C39" s="114"/>
      <c r="D39" s="353" t="str">
        <f>IF(dir!D17="","",dir!D17)</f>
        <v/>
      </c>
      <c r="E39" s="388" t="str">
        <f>IF(dir!E17="","",dir!E17)</f>
        <v/>
      </c>
      <c r="F39" s="105" t="str">
        <f>IF(dir!F17="","",dir!F17+1)</f>
        <v/>
      </c>
      <c r="G39" s="354" t="str">
        <f>IF(dir!G17="","",dir!G17)</f>
        <v/>
      </c>
      <c r="H39" s="389" t="str">
        <f t="shared" ref="H39:H47" si="36">IF(H17=0,"",H17)</f>
        <v/>
      </c>
      <c r="I39" s="355" t="str">
        <f>IF(J39="","",(IF(dir!I17+1&gt;LOOKUP(H39,schaal2019,regels2019),dir!I17,dir!I17+1)))</f>
        <v/>
      </c>
      <c r="J39" s="356" t="str">
        <f>IF(dir!J17="","",dir!J17)</f>
        <v/>
      </c>
      <c r="K39" s="370"/>
      <c r="L39" s="1061">
        <f>IF(dir!L17="",0,dir!L17)</f>
        <v>0</v>
      </c>
      <c r="M39" s="1061">
        <f>IF(dir!M17="",0,dir!M17)</f>
        <v>0</v>
      </c>
      <c r="N39" s="1051" t="str">
        <f t="shared" si="24"/>
        <v/>
      </c>
      <c r="O39" s="1051"/>
      <c r="P39" s="1125" t="str">
        <f t="shared" si="25"/>
        <v/>
      </c>
      <c r="Q39" s="472"/>
      <c r="R39" s="923" t="str">
        <f t="shared" ref="R39:R47" si="37">IF(J39="","",(((1659*J39)-P39)*AB39))</f>
        <v/>
      </c>
      <c r="S39" s="923" t="str">
        <f t="shared" si="26"/>
        <v/>
      </c>
      <c r="T39" s="925" t="str">
        <f t="shared" si="27"/>
        <v/>
      </c>
      <c r="U39" s="236"/>
      <c r="V39" s="712"/>
      <c r="W39" s="709"/>
      <c r="X39" s="709"/>
      <c r="Y39" s="1095" t="str">
        <f t="shared" si="28"/>
        <v/>
      </c>
      <c r="Z39" s="1094">
        <f>tab!B$50</f>
        <v>0.6</v>
      </c>
      <c r="AA39" s="1126" t="e">
        <f t="shared" si="29"/>
        <v>#VALUE!</v>
      </c>
      <c r="AB39" s="1126" t="e">
        <f t="shared" si="30"/>
        <v>#VALUE!</v>
      </c>
      <c r="AC39" s="1126" t="e">
        <f t="shared" si="31"/>
        <v>#VALUE!</v>
      </c>
      <c r="AD39" s="1128" t="e">
        <f t="shared" si="32"/>
        <v>#VALUE!</v>
      </c>
      <c r="AE39" s="1128">
        <f t="shared" si="33"/>
        <v>0</v>
      </c>
      <c r="AF39" s="1096">
        <f>IF(H39&gt;8,tab!$B$51,tab!$B$54)</f>
        <v>0.5</v>
      </c>
      <c r="AG39" s="1097">
        <f t="shared" si="34"/>
        <v>0</v>
      </c>
      <c r="AH39" s="1093">
        <f t="shared" si="35"/>
        <v>0</v>
      </c>
      <c r="AI39" s="1102"/>
    </row>
    <row r="40" spans="2:40" ht="12.75" customHeight="1" x14ac:dyDescent="0.3">
      <c r="B40" s="61"/>
      <c r="C40" s="114"/>
      <c r="D40" s="353" t="str">
        <f>IF(dir!D18="","",dir!D18)</f>
        <v/>
      </c>
      <c r="E40" s="388" t="str">
        <f>IF(dir!E18="","",dir!E18)</f>
        <v/>
      </c>
      <c r="F40" s="105" t="str">
        <f>IF(dir!F18="","",dir!F18+1)</f>
        <v/>
      </c>
      <c r="G40" s="354" t="str">
        <f>IF(dir!G18="","",dir!G18)</f>
        <v/>
      </c>
      <c r="H40" s="389" t="str">
        <f t="shared" si="36"/>
        <v/>
      </c>
      <c r="I40" s="355" t="str">
        <f>IF(J40="","",(IF(dir!I18+1&gt;LOOKUP(H40,schaal2019,regels2019),dir!I18,dir!I18+1)))</f>
        <v/>
      </c>
      <c r="J40" s="356" t="str">
        <f>IF(dir!J18="","",dir!J18)</f>
        <v/>
      </c>
      <c r="K40" s="370"/>
      <c r="L40" s="1061">
        <f>IF(dir!L18="",0,dir!L18)</f>
        <v>0</v>
      </c>
      <c r="M40" s="1061">
        <f>IF(dir!M18="",0,dir!M18)</f>
        <v>0</v>
      </c>
      <c r="N40" s="1051" t="str">
        <f t="shared" si="24"/>
        <v/>
      </c>
      <c r="O40" s="1051"/>
      <c r="P40" s="1125" t="str">
        <f t="shared" si="25"/>
        <v/>
      </c>
      <c r="Q40" s="472"/>
      <c r="R40" s="923" t="str">
        <f t="shared" si="37"/>
        <v/>
      </c>
      <c r="S40" s="923" t="str">
        <f t="shared" si="26"/>
        <v/>
      </c>
      <c r="T40" s="925" t="str">
        <f t="shared" si="27"/>
        <v/>
      </c>
      <c r="U40" s="236"/>
      <c r="V40" s="712"/>
      <c r="W40" s="709"/>
      <c r="X40" s="709"/>
      <c r="Y40" s="1095" t="str">
        <f t="shared" si="28"/>
        <v/>
      </c>
      <c r="Z40" s="1094">
        <f>tab!B$50</f>
        <v>0.6</v>
      </c>
      <c r="AA40" s="1126" t="e">
        <f t="shared" si="29"/>
        <v>#VALUE!</v>
      </c>
      <c r="AB40" s="1126" t="e">
        <f t="shared" si="30"/>
        <v>#VALUE!</v>
      </c>
      <c r="AC40" s="1126" t="e">
        <f t="shared" si="31"/>
        <v>#VALUE!</v>
      </c>
      <c r="AD40" s="1128" t="e">
        <f t="shared" si="32"/>
        <v>#VALUE!</v>
      </c>
      <c r="AE40" s="1128">
        <f t="shared" si="33"/>
        <v>0</v>
      </c>
      <c r="AF40" s="1096">
        <f>IF(H40&gt;8,tab!$B$51,tab!$B$54)</f>
        <v>0.5</v>
      </c>
      <c r="AG40" s="1097">
        <f t="shared" si="34"/>
        <v>0</v>
      </c>
      <c r="AH40" s="1093">
        <f t="shared" si="35"/>
        <v>0</v>
      </c>
      <c r="AI40" s="1102"/>
    </row>
    <row r="41" spans="2:40" ht="12.75" customHeight="1" x14ac:dyDescent="0.3">
      <c r="B41" s="61"/>
      <c r="C41" s="114"/>
      <c r="D41" s="353" t="str">
        <f>IF(dir!D19="","",dir!D19)</f>
        <v/>
      </c>
      <c r="E41" s="388" t="str">
        <f>IF(dir!E19="","",dir!E19)</f>
        <v/>
      </c>
      <c r="F41" s="105" t="str">
        <f>IF(dir!F19="","",dir!F19+1)</f>
        <v/>
      </c>
      <c r="G41" s="354" t="str">
        <f>IF(dir!G19="","",dir!G19)</f>
        <v/>
      </c>
      <c r="H41" s="389" t="str">
        <f t="shared" si="36"/>
        <v/>
      </c>
      <c r="I41" s="355" t="str">
        <f>IF(J41="","",(IF(dir!I19+1&gt;LOOKUP(H41,schaal2019,regels2019),dir!I19,dir!I19+1)))</f>
        <v/>
      </c>
      <c r="J41" s="356" t="str">
        <f>IF(dir!J19="","",dir!J19)</f>
        <v/>
      </c>
      <c r="K41" s="370"/>
      <c r="L41" s="1061">
        <f>IF(dir!L19="",0,dir!L19)</f>
        <v>0</v>
      </c>
      <c r="M41" s="1061">
        <f>IF(dir!M19="",0,dir!M19)</f>
        <v>0</v>
      </c>
      <c r="N41" s="1051" t="str">
        <f t="shared" si="24"/>
        <v/>
      </c>
      <c r="O41" s="1051"/>
      <c r="P41" s="1125" t="str">
        <f t="shared" si="25"/>
        <v/>
      </c>
      <c r="Q41" s="472"/>
      <c r="R41" s="923" t="str">
        <f t="shared" si="37"/>
        <v/>
      </c>
      <c r="S41" s="923" t="str">
        <f t="shared" si="26"/>
        <v/>
      </c>
      <c r="T41" s="925" t="str">
        <f t="shared" si="27"/>
        <v/>
      </c>
      <c r="U41" s="236"/>
      <c r="V41" s="712"/>
      <c r="W41" s="709"/>
      <c r="X41" s="709"/>
      <c r="Y41" s="1095" t="str">
        <f t="shared" si="28"/>
        <v/>
      </c>
      <c r="Z41" s="1094">
        <f>tab!B$50</f>
        <v>0.6</v>
      </c>
      <c r="AA41" s="1126" t="e">
        <f t="shared" si="29"/>
        <v>#VALUE!</v>
      </c>
      <c r="AB41" s="1126" t="e">
        <f t="shared" si="30"/>
        <v>#VALUE!</v>
      </c>
      <c r="AC41" s="1126" t="e">
        <f t="shared" si="31"/>
        <v>#VALUE!</v>
      </c>
      <c r="AD41" s="1128" t="e">
        <f t="shared" si="32"/>
        <v>#VALUE!</v>
      </c>
      <c r="AE41" s="1128">
        <f t="shared" si="33"/>
        <v>0</v>
      </c>
      <c r="AF41" s="1096">
        <f>IF(H41&gt;8,tab!$B$51,tab!$B$54)</f>
        <v>0.5</v>
      </c>
      <c r="AG41" s="1097">
        <f t="shared" si="34"/>
        <v>0</v>
      </c>
      <c r="AH41" s="1093">
        <f t="shared" si="35"/>
        <v>0</v>
      </c>
      <c r="AI41" s="1102"/>
    </row>
    <row r="42" spans="2:40" ht="12.75" customHeight="1" x14ac:dyDescent="0.3">
      <c r="B42" s="61"/>
      <c r="C42" s="114"/>
      <c r="D42" s="353" t="str">
        <f>IF(dir!D20="","",dir!D20)</f>
        <v/>
      </c>
      <c r="E42" s="388" t="str">
        <f>IF(dir!E20="","",dir!E20)</f>
        <v/>
      </c>
      <c r="F42" s="105" t="str">
        <f>IF(dir!F20="","",dir!F20+1)</f>
        <v/>
      </c>
      <c r="G42" s="354" t="str">
        <f>IF(dir!G20="","",dir!G20)</f>
        <v/>
      </c>
      <c r="H42" s="389" t="str">
        <f t="shared" si="36"/>
        <v/>
      </c>
      <c r="I42" s="355" t="str">
        <f>IF(J42="","",(IF(dir!I20+1&gt;LOOKUP(H42,schaal2019,regels2019),dir!I20,dir!I20+1)))</f>
        <v/>
      </c>
      <c r="J42" s="356" t="str">
        <f>IF(dir!J20="","",dir!J20)</f>
        <v/>
      </c>
      <c r="K42" s="370"/>
      <c r="L42" s="1061">
        <f>IF(dir!L20="",0,dir!L20)</f>
        <v>0</v>
      </c>
      <c r="M42" s="1061">
        <f>IF(dir!M20="",0,dir!M20)</f>
        <v>0</v>
      </c>
      <c r="N42" s="1051" t="str">
        <f t="shared" si="24"/>
        <v/>
      </c>
      <c r="O42" s="1051"/>
      <c r="P42" s="1125" t="str">
        <f t="shared" si="25"/>
        <v/>
      </c>
      <c r="Q42" s="472"/>
      <c r="R42" s="923" t="str">
        <f t="shared" si="37"/>
        <v/>
      </c>
      <c r="S42" s="923" t="str">
        <f t="shared" si="26"/>
        <v/>
      </c>
      <c r="T42" s="925" t="str">
        <f t="shared" si="27"/>
        <v/>
      </c>
      <c r="U42" s="236"/>
      <c r="V42" s="712"/>
      <c r="W42" s="709"/>
      <c r="X42" s="709"/>
      <c r="Y42" s="1095" t="str">
        <f t="shared" si="28"/>
        <v/>
      </c>
      <c r="Z42" s="1094">
        <f>tab!B$50</f>
        <v>0.6</v>
      </c>
      <c r="AA42" s="1126" t="e">
        <f t="shared" si="29"/>
        <v>#VALUE!</v>
      </c>
      <c r="AB42" s="1126" t="e">
        <f t="shared" si="30"/>
        <v>#VALUE!</v>
      </c>
      <c r="AC42" s="1126" t="e">
        <f t="shared" si="31"/>
        <v>#VALUE!</v>
      </c>
      <c r="AD42" s="1128" t="e">
        <f t="shared" si="32"/>
        <v>#VALUE!</v>
      </c>
      <c r="AE42" s="1128">
        <f t="shared" si="33"/>
        <v>0</v>
      </c>
      <c r="AF42" s="1096">
        <f>IF(H42&gt;8,tab!$B$51,tab!$B$54)</f>
        <v>0.5</v>
      </c>
      <c r="AG42" s="1097">
        <f t="shared" si="34"/>
        <v>0</v>
      </c>
      <c r="AH42" s="1093">
        <f t="shared" si="35"/>
        <v>0</v>
      </c>
      <c r="AI42" s="1102"/>
    </row>
    <row r="43" spans="2:40" ht="12.75" customHeight="1" x14ac:dyDescent="0.3">
      <c r="B43" s="61"/>
      <c r="C43" s="114"/>
      <c r="D43" s="353" t="str">
        <f>IF(dir!D21="","",dir!D21)</f>
        <v/>
      </c>
      <c r="E43" s="388" t="str">
        <f>IF(dir!E21="","",dir!E21)</f>
        <v/>
      </c>
      <c r="F43" s="105" t="str">
        <f>IF(dir!F21="","",dir!F21+1)</f>
        <v/>
      </c>
      <c r="G43" s="354" t="str">
        <f>IF(dir!G21="","",dir!G21)</f>
        <v/>
      </c>
      <c r="H43" s="389" t="str">
        <f t="shared" si="36"/>
        <v/>
      </c>
      <c r="I43" s="355" t="str">
        <f>IF(J43="","",(IF(dir!I21+1&gt;LOOKUP(H43,schaal2019,regels2019),dir!I21,dir!I21+1)))</f>
        <v/>
      </c>
      <c r="J43" s="356" t="str">
        <f>IF(dir!J21="","",dir!J21)</f>
        <v/>
      </c>
      <c r="K43" s="370"/>
      <c r="L43" s="1061">
        <f>IF(dir!L21="",0,dir!L21)</f>
        <v>0</v>
      </c>
      <c r="M43" s="1061">
        <f>IF(dir!M21="",0,dir!M21)</f>
        <v>0</v>
      </c>
      <c r="N43" s="1051" t="str">
        <f t="shared" si="24"/>
        <v/>
      </c>
      <c r="O43" s="1051"/>
      <c r="P43" s="1125" t="str">
        <f t="shared" si="25"/>
        <v/>
      </c>
      <c r="Q43" s="472"/>
      <c r="R43" s="923" t="str">
        <f t="shared" si="37"/>
        <v/>
      </c>
      <c r="S43" s="923" t="str">
        <f t="shared" si="26"/>
        <v/>
      </c>
      <c r="T43" s="925" t="str">
        <f t="shared" si="27"/>
        <v/>
      </c>
      <c r="U43" s="236"/>
      <c r="V43" s="712"/>
      <c r="W43" s="709"/>
      <c r="X43" s="709"/>
      <c r="Y43" s="1095" t="str">
        <f t="shared" si="28"/>
        <v/>
      </c>
      <c r="Z43" s="1094">
        <f>tab!B$50</f>
        <v>0.6</v>
      </c>
      <c r="AA43" s="1126" t="e">
        <f t="shared" si="29"/>
        <v>#VALUE!</v>
      </c>
      <c r="AB43" s="1126" t="e">
        <f t="shared" si="30"/>
        <v>#VALUE!</v>
      </c>
      <c r="AC43" s="1126" t="e">
        <f t="shared" si="31"/>
        <v>#VALUE!</v>
      </c>
      <c r="AD43" s="1128" t="e">
        <f t="shared" si="32"/>
        <v>#VALUE!</v>
      </c>
      <c r="AE43" s="1128">
        <f t="shared" si="33"/>
        <v>0</v>
      </c>
      <c r="AF43" s="1096">
        <f>IF(H43&gt;8,tab!$B$51,tab!$B$54)</f>
        <v>0.5</v>
      </c>
      <c r="AG43" s="1097">
        <f t="shared" si="34"/>
        <v>0</v>
      </c>
      <c r="AH43" s="1093">
        <f t="shared" si="35"/>
        <v>0</v>
      </c>
      <c r="AI43" s="1102"/>
    </row>
    <row r="44" spans="2:40" ht="12.75" customHeight="1" x14ac:dyDescent="0.3">
      <c r="B44" s="61"/>
      <c r="C44" s="114"/>
      <c r="D44" s="353" t="str">
        <f>IF(dir!D22="","",dir!D22)</f>
        <v/>
      </c>
      <c r="E44" s="388" t="str">
        <f>IF(dir!E22="","",dir!E22)</f>
        <v/>
      </c>
      <c r="F44" s="105" t="str">
        <f>IF(dir!F22="","",dir!F22+1)</f>
        <v/>
      </c>
      <c r="G44" s="354" t="str">
        <f>IF(dir!G22="","",dir!G22)</f>
        <v/>
      </c>
      <c r="H44" s="389" t="str">
        <f t="shared" si="36"/>
        <v/>
      </c>
      <c r="I44" s="355" t="str">
        <f>IF(J44="","",(IF(dir!I22+1&gt;LOOKUP(H44,schaal2019,regels2019),dir!I22,dir!I22+1)))</f>
        <v/>
      </c>
      <c r="J44" s="356" t="str">
        <f>IF(dir!J22="","",dir!J22)</f>
        <v/>
      </c>
      <c r="K44" s="370"/>
      <c r="L44" s="1061">
        <f>IF(dir!L22="",0,dir!L22)</f>
        <v>0</v>
      </c>
      <c r="M44" s="1061">
        <f>IF(dir!M22="",0,dir!M22)</f>
        <v>0</v>
      </c>
      <c r="N44" s="1051" t="str">
        <f t="shared" si="24"/>
        <v/>
      </c>
      <c r="O44" s="1051"/>
      <c r="P44" s="1125" t="str">
        <f t="shared" si="25"/>
        <v/>
      </c>
      <c r="Q44" s="472"/>
      <c r="R44" s="923" t="str">
        <f t="shared" si="37"/>
        <v/>
      </c>
      <c r="S44" s="923" t="str">
        <f t="shared" si="26"/>
        <v/>
      </c>
      <c r="T44" s="925" t="str">
        <f t="shared" si="27"/>
        <v/>
      </c>
      <c r="U44" s="236"/>
      <c r="V44" s="712"/>
      <c r="W44" s="709"/>
      <c r="X44" s="709"/>
      <c r="Y44" s="1095" t="str">
        <f t="shared" si="28"/>
        <v/>
      </c>
      <c r="Z44" s="1094">
        <f>tab!B$50</f>
        <v>0.6</v>
      </c>
      <c r="AA44" s="1126" t="e">
        <f t="shared" si="29"/>
        <v>#VALUE!</v>
      </c>
      <c r="AB44" s="1126" t="e">
        <f t="shared" si="30"/>
        <v>#VALUE!</v>
      </c>
      <c r="AC44" s="1126" t="e">
        <f t="shared" si="31"/>
        <v>#VALUE!</v>
      </c>
      <c r="AD44" s="1128" t="e">
        <f t="shared" si="32"/>
        <v>#VALUE!</v>
      </c>
      <c r="AE44" s="1128">
        <f t="shared" si="33"/>
        <v>0</v>
      </c>
      <c r="AF44" s="1096">
        <f>IF(H44&gt;8,tab!$B$51,tab!$B$54)</f>
        <v>0.5</v>
      </c>
      <c r="AG44" s="1097">
        <f t="shared" si="34"/>
        <v>0</v>
      </c>
      <c r="AH44" s="1093">
        <f t="shared" si="35"/>
        <v>0</v>
      </c>
      <c r="AI44" s="1102"/>
    </row>
    <row r="45" spans="2:40" ht="12.75" customHeight="1" x14ac:dyDescent="0.3">
      <c r="B45" s="61"/>
      <c r="C45" s="114"/>
      <c r="D45" s="353" t="str">
        <f>IF(dir!D23="","",dir!D23)</f>
        <v/>
      </c>
      <c r="E45" s="388" t="str">
        <f>IF(dir!E23="","",dir!E23)</f>
        <v/>
      </c>
      <c r="F45" s="105" t="str">
        <f>IF(dir!F23="","",dir!F23+1)</f>
        <v/>
      </c>
      <c r="G45" s="354" t="str">
        <f>IF(dir!G23="","",dir!G23)</f>
        <v/>
      </c>
      <c r="H45" s="389" t="str">
        <f t="shared" si="36"/>
        <v/>
      </c>
      <c r="I45" s="355" t="str">
        <f>IF(J45="","",(IF(dir!I23+1&gt;LOOKUP(H45,schaal2019,regels2019),dir!I23,dir!I23+1)))</f>
        <v/>
      </c>
      <c r="J45" s="356" t="str">
        <f>IF(dir!J23="","",dir!J23)</f>
        <v/>
      </c>
      <c r="K45" s="370"/>
      <c r="L45" s="1061">
        <f>IF(dir!L23="",0,dir!L23)</f>
        <v>0</v>
      </c>
      <c r="M45" s="1061">
        <f>IF(dir!M23="",0,dir!M23)</f>
        <v>0</v>
      </c>
      <c r="N45" s="1051" t="str">
        <f t="shared" si="24"/>
        <v/>
      </c>
      <c r="O45" s="1051"/>
      <c r="P45" s="1125" t="str">
        <f t="shared" si="25"/>
        <v/>
      </c>
      <c r="Q45" s="472"/>
      <c r="R45" s="923" t="str">
        <f t="shared" si="37"/>
        <v/>
      </c>
      <c r="S45" s="923" t="str">
        <f t="shared" si="26"/>
        <v/>
      </c>
      <c r="T45" s="925" t="str">
        <f t="shared" si="27"/>
        <v/>
      </c>
      <c r="U45" s="236"/>
      <c r="V45" s="712"/>
      <c r="W45" s="709"/>
      <c r="X45" s="709"/>
      <c r="Y45" s="1095" t="str">
        <f t="shared" si="28"/>
        <v/>
      </c>
      <c r="Z45" s="1094">
        <f>tab!B$50</f>
        <v>0.6</v>
      </c>
      <c r="AA45" s="1126" t="e">
        <f t="shared" si="29"/>
        <v>#VALUE!</v>
      </c>
      <c r="AB45" s="1126" t="e">
        <f t="shared" si="30"/>
        <v>#VALUE!</v>
      </c>
      <c r="AC45" s="1126" t="e">
        <f t="shared" si="31"/>
        <v>#VALUE!</v>
      </c>
      <c r="AD45" s="1128" t="e">
        <f t="shared" si="32"/>
        <v>#VALUE!</v>
      </c>
      <c r="AE45" s="1128">
        <f t="shared" si="33"/>
        <v>0</v>
      </c>
      <c r="AF45" s="1096">
        <f>IF(H45&gt;8,tab!$B$51,tab!$B$54)</f>
        <v>0.5</v>
      </c>
      <c r="AG45" s="1097">
        <f t="shared" si="34"/>
        <v>0</v>
      </c>
      <c r="AH45" s="1093">
        <f t="shared" si="35"/>
        <v>0</v>
      </c>
      <c r="AI45" s="1102"/>
    </row>
    <row r="46" spans="2:40" ht="12.75" customHeight="1" x14ac:dyDescent="0.3">
      <c r="B46" s="61"/>
      <c r="C46" s="114"/>
      <c r="D46" s="353" t="str">
        <f>IF(dir!D24="","",dir!D24)</f>
        <v/>
      </c>
      <c r="E46" s="388" t="str">
        <f>IF(dir!E24="","",dir!E24)</f>
        <v/>
      </c>
      <c r="F46" s="105" t="str">
        <f>IF(dir!F24="","",dir!F24+1)</f>
        <v/>
      </c>
      <c r="G46" s="354" t="str">
        <f>IF(dir!G24="","",dir!G24)</f>
        <v/>
      </c>
      <c r="H46" s="389" t="str">
        <f t="shared" si="36"/>
        <v/>
      </c>
      <c r="I46" s="355" t="str">
        <f>IF(J46="","",(IF(dir!I24+1&gt;LOOKUP(H46,schaal2019,regels2019),dir!I24,dir!I24+1)))</f>
        <v/>
      </c>
      <c r="J46" s="356" t="str">
        <f>IF(dir!J24="","",dir!J24)</f>
        <v/>
      </c>
      <c r="K46" s="370"/>
      <c r="L46" s="1061">
        <f>IF(dir!L24="",0,dir!L24)</f>
        <v>0</v>
      </c>
      <c r="M46" s="1061">
        <f>IF(dir!M24="",0,dir!M24)</f>
        <v>0</v>
      </c>
      <c r="N46" s="1051" t="str">
        <f t="shared" si="24"/>
        <v/>
      </c>
      <c r="O46" s="1051"/>
      <c r="P46" s="1125" t="str">
        <f t="shared" si="25"/>
        <v/>
      </c>
      <c r="Q46" s="472"/>
      <c r="R46" s="923" t="str">
        <f t="shared" si="37"/>
        <v/>
      </c>
      <c r="S46" s="923" t="str">
        <f t="shared" si="26"/>
        <v/>
      </c>
      <c r="T46" s="925" t="str">
        <f t="shared" si="27"/>
        <v/>
      </c>
      <c r="U46" s="236"/>
      <c r="V46" s="712"/>
      <c r="W46" s="709"/>
      <c r="X46" s="709"/>
      <c r="Y46" s="1095" t="str">
        <f t="shared" si="28"/>
        <v/>
      </c>
      <c r="Z46" s="1094">
        <f>tab!B$50</f>
        <v>0.6</v>
      </c>
      <c r="AA46" s="1126" t="e">
        <f t="shared" si="29"/>
        <v>#VALUE!</v>
      </c>
      <c r="AB46" s="1126" t="e">
        <f t="shared" si="30"/>
        <v>#VALUE!</v>
      </c>
      <c r="AC46" s="1126" t="e">
        <f t="shared" si="31"/>
        <v>#VALUE!</v>
      </c>
      <c r="AD46" s="1128" t="e">
        <f t="shared" si="32"/>
        <v>#VALUE!</v>
      </c>
      <c r="AE46" s="1128">
        <f t="shared" si="33"/>
        <v>0</v>
      </c>
      <c r="AF46" s="1096">
        <f>IF(H46&gt;8,tab!$B$51,tab!$B$54)</f>
        <v>0.5</v>
      </c>
      <c r="AG46" s="1097">
        <f t="shared" si="34"/>
        <v>0</v>
      </c>
      <c r="AH46" s="1093">
        <f t="shared" si="35"/>
        <v>0</v>
      </c>
      <c r="AI46" s="1102"/>
    </row>
    <row r="47" spans="2:40" ht="12.75" customHeight="1" x14ac:dyDescent="0.3">
      <c r="B47" s="61"/>
      <c r="C47" s="114"/>
      <c r="D47" s="353" t="str">
        <f>IF(dir!D25="","",dir!D25)</f>
        <v/>
      </c>
      <c r="E47" s="388" t="str">
        <f>IF(dir!E25="","",dir!E25)</f>
        <v/>
      </c>
      <c r="F47" s="105" t="str">
        <f>IF(dir!F25="","",dir!F25+1)</f>
        <v/>
      </c>
      <c r="G47" s="354" t="str">
        <f>IF(dir!G25="","",dir!G25)</f>
        <v/>
      </c>
      <c r="H47" s="389" t="str">
        <f t="shared" si="36"/>
        <v/>
      </c>
      <c r="I47" s="355" t="str">
        <f>IF(J47="","",(IF(dir!I25+1&gt;LOOKUP(H47,schaal2019,regels2019),dir!I25,dir!I25+1)))</f>
        <v/>
      </c>
      <c r="J47" s="356" t="str">
        <f>IF(dir!J25="","",dir!J25)</f>
        <v/>
      </c>
      <c r="K47" s="370"/>
      <c r="L47" s="1061">
        <f>IF(dir!L25="",0,dir!L25)</f>
        <v>0</v>
      </c>
      <c r="M47" s="1061">
        <f>IF(dir!M25="",0,dir!M25)</f>
        <v>0</v>
      </c>
      <c r="N47" s="1051" t="str">
        <f t="shared" si="24"/>
        <v/>
      </c>
      <c r="O47" s="1051"/>
      <c r="P47" s="1125" t="str">
        <f t="shared" si="25"/>
        <v/>
      </c>
      <c r="Q47" s="472"/>
      <c r="R47" s="923" t="str">
        <f t="shared" si="37"/>
        <v/>
      </c>
      <c r="S47" s="923" t="str">
        <f t="shared" si="26"/>
        <v/>
      </c>
      <c r="T47" s="925" t="str">
        <f t="shared" si="27"/>
        <v/>
      </c>
      <c r="U47" s="236"/>
      <c r="V47" s="712"/>
      <c r="W47" s="709"/>
      <c r="X47" s="709"/>
      <c r="Y47" s="1095" t="str">
        <f t="shared" si="28"/>
        <v/>
      </c>
      <c r="Z47" s="1094">
        <f>tab!B$50</f>
        <v>0.6</v>
      </c>
      <c r="AA47" s="1126" t="e">
        <f t="shared" si="29"/>
        <v>#VALUE!</v>
      </c>
      <c r="AB47" s="1126" t="e">
        <f t="shared" si="30"/>
        <v>#VALUE!</v>
      </c>
      <c r="AC47" s="1126" t="e">
        <f t="shared" si="31"/>
        <v>#VALUE!</v>
      </c>
      <c r="AD47" s="1128" t="e">
        <f t="shared" si="32"/>
        <v>#VALUE!</v>
      </c>
      <c r="AE47" s="1128">
        <f t="shared" si="33"/>
        <v>0</v>
      </c>
      <c r="AF47" s="1096">
        <f>IF(H47&gt;8,tab!$B$51,tab!$B$54)</f>
        <v>0.5</v>
      </c>
      <c r="AG47" s="1097">
        <f t="shared" si="34"/>
        <v>0</v>
      </c>
      <c r="AH47" s="1093">
        <f t="shared" si="35"/>
        <v>0</v>
      </c>
      <c r="AI47" s="1102"/>
    </row>
    <row r="48" spans="2:40" ht="12.75" customHeight="1" x14ac:dyDescent="0.3">
      <c r="B48" s="61"/>
      <c r="C48" s="114"/>
      <c r="D48" s="166"/>
      <c r="E48" s="212"/>
      <c r="F48" s="372"/>
      <c r="G48" s="373"/>
      <c r="H48" s="116"/>
      <c r="I48" s="116"/>
      <c r="J48" s="919">
        <f>SUM(J38:J47)</f>
        <v>1</v>
      </c>
      <c r="K48" s="372"/>
      <c r="L48" s="1039">
        <f t="shared" ref="L48:P48" si="38">SUM(L38:L47)</f>
        <v>130</v>
      </c>
      <c r="M48" s="1039">
        <f t="shared" si="38"/>
        <v>170</v>
      </c>
      <c r="N48" s="1039">
        <f>SUM(N38:N47)</f>
        <v>40</v>
      </c>
      <c r="O48" s="1039"/>
      <c r="P48" s="1039">
        <f t="shared" si="38"/>
        <v>340</v>
      </c>
      <c r="Q48" s="372"/>
      <c r="R48" s="920">
        <f t="shared" ref="R48:T48" si="39">SUM(R38:R47)</f>
        <v>32769.080168776381</v>
      </c>
      <c r="S48" s="921">
        <f t="shared" si="39"/>
        <v>6117.8059071729967</v>
      </c>
      <c r="T48" s="920">
        <f t="shared" si="39"/>
        <v>38886.886075949376</v>
      </c>
      <c r="U48" s="371"/>
      <c r="V48" s="65"/>
      <c r="Y48" s="1098">
        <f>SUM(Y38:Y47)</f>
        <v>2146.666666666667</v>
      </c>
      <c r="Z48" s="1130"/>
      <c r="AA48" s="1098">
        <f t="shared" si="29"/>
        <v>15.527426160337555</v>
      </c>
      <c r="AB48" s="1098"/>
      <c r="AC48" s="1098"/>
      <c r="AG48" s="1099"/>
      <c r="AH48" s="1100"/>
      <c r="AI48" s="1102"/>
    </row>
    <row r="49" spans="2:40" ht="12.75" customHeight="1" x14ac:dyDescent="0.3">
      <c r="B49" s="61"/>
      <c r="C49" s="169"/>
      <c r="D49" s="374"/>
      <c r="E49" s="250"/>
      <c r="F49" s="170"/>
      <c r="G49" s="375"/>
      <c r="H49" s="170"/>
      <c r="I49" s="376"/>
      <c r="J49" s="377"/>
      <c r="K49" s="250"/>
      <c r="L49" s="376"/>
      <c r="M49" s="376"/>
      <c r="N49" s="376"/>
      <c r="O49" s="376"/>
      <c r="P49" s="376"/>
      <c r="Q49" s="250"/>
      <c r="R49" s="394"/>
      <c r="S49" s="379"/>
      <c r="T49" s="780"/>
      <c r="U49" s="380"/>
      <c r="V49" s="65"/>
      <c r="Y49" s="1079"/>
      <c r="Z49" s="1130"/>
      <c r="AA49" s="1098"/>
      <c r="AB49" s="1098"/>
      <c r="AC49" s="1098"/>
      <c r="AG49" s="1099"/>
      <c r="AH49" s="1100"/>
      <c r="AI49" s="1102"/>
    </row>
    <row r="50" spans="2:40" ht="12.75" customHeight="1" x14ac:dyDescent="0.3">
      <c r="B50" s="61"/>
      <c r="C50" s="62"/>
      <c r="D50" s="302"/>
      <c r="E50" s="78"/>
      <c r="F50" s="79"/>
      <c r="G50" s="303"/>
      <c r="H50" s="79"/>
      <c r="I50" s="304"/>
      <c r="J50" s="669"/>
      <c r="K50" s="62"/>
      <c r="L50" s="305"/>
      <c r="M50" s="305"/>
      <c r="N50" s="305"/>
      <c r="O50" s="305"/>
      <c r="P50" s="305"/>
      <c r="Q50" s="62"/>
      <c r="R50" s="688"/>
      <c r="S50" s="198"/>
      <c r="T50" s="784"/>
      <c r="U50" s="62"/>
      <c r="V50" s="65"/>
      <c r="Y50" s="1095"/>
      <c r="Z50" s="1103"/>
      <c r="AA50" s="1103"/>
      <c r="AB50" s="1103"/>
      <c r="AC50" s="1103"/>
      <c r="AG50" s="1097"/>
      <c r="AH50" s="1093"/>
    </row>
    <row r="51" spans="2:40" ht="12.75" customHeight="1" x14ac:dyDescent="0.3">
      <c r="B51" s="61"/>
      <c r="C51" s="62"/>
      <c r="D51" s="302"/>
      <c r="E51" s="78"/>
      <c r="F51" s="79"/>
      <c r="G51" s="303"/>
      <c r="H51" s="79"/>
      <c r="I51" s="304"/>
      <c r="J51" s="669"/>
      <c r="K51" s="62"/>
      <c r="L51" s="305"/>
      <c r="M51" s="305"/>
      <c r="N51" s="305"/>
      <c r="O51" s="305"/>
      <c r="P51" s="305"/>
      <c r="Q51" s="62"/>
      <c r="R51" s="688"/>
      <c r="S51" s="198"/>
      <c r="T51" s="784"/>
      <c r="U51" s="62"/>
      <c r="V51" s="65"/>
      <c r="Y51" s="1095"/>
      <c r="Z51" s="1103"/>
      <c r="AA51" s="1103"/>
      <c r="AB51" s="1103"/>
      <c r="AC51" s="1103"/>
      <c r="AG51" s="1097"/>
      <c r="AH51" s="1093"/>
    </row>
    <row r="52" spans="2:40" ht="12.75" customHeight="1" x14ac:dyDescent="0.3">
      <c r="B52" s="61"/>
      <c r="C52" s="62"/>
      <c r="D52" s="302"/>
      <c r="E52" s="78"/>
      <c r="F52" s="79"/>
      <c r="G52" s="303"/>
      <c r="H52" s="79"/>
      <c r="I52" s="304"/>
      <c r="J52" s="669"/>
      <c r="K52" s="62"/>
      <c r="L52" s="305"/>
      <c r="M52" s="305"/>
      <c r="N52" s="305"/>
      <c r="O52" s="305"/>
      <c r="P52" s="305"/>
      <c r="Q52" s="62"/>
      <c r="R52" s="688"/>
      <c r="S52" s="198"/>
      <c r="T52" s="784"/>
      <c r="U52" s="62"/>
      <c r="V52" s="65"/>
      <c r="Y52" s="1095"/>
      <c r="Z52" s="1103"/>
      <c r="AA52" s="1103"/>
      <c r="AB52" s="1103"/>
      <c r="AC52" s="1103"/>
      <c r="AG52" s="1097"/>
      <c r="AH52" s="1093"/>
    </row>
    <row r="53" spans="2:40" ht="12.75" customHeight="1" x14ac:dyDescent="0.3">
      <c r="B53" s="61"/>
      <c r="C53" s="62" t="s">
        <v>180</v>
      </c>
      <c r="D53" s="302"/>
      <c r="E53" s="197" t="str">
        <f>tab!C2</f>
        <v>2021/22</v>
      </c>
      <c r="F53" s="79"/>
      <c r="G53" s="303"/>
      <c r="H53" s="79"/>
      <c r="I53" s="304"/>
      <c r="J53" s="669"/>
      <c r="K53" s="62"/>
      <c r="L53" s="305"/>
      <c r="M53" s="305"/>
      <c r="N53" s="305"/>
      <c r="O53" s="305"/>
      <c r="P53" s="305"/>
      <c r="Q53" s="62"/>
      <c r="R53" s="688"/>
      <c r="S53" s="198"/>
      <c r="T53" s="784"/>
      <c r="U53" s="62"/>
      <c r="V53" s="65"/>
      <c r="Y53" s="1095"/>
      <c r="Z53" s="1103"/>
      <c r="AA53" s="1103"/>
      <c r="AB53" s="1103"/>
      <c r="AC53" s="1103"/>
      <c r="AG53" s="1097"/>
      <c r="AH53" s="1093"/>
    </row>
    <row r="54" spans="2:40" ht="12.75" customHeight="1" x14ac:dyDescent="0.3">
      <c r="B54" s="61"/>
      <c r="C54" s="78" t="s">
        <v>193</v>
      </c>
      <c r="D54" s="302"/>
      <c r="E54" s="339">
        <f>tab!D3</f>
        <v>44470</v>
      </c>
      <c r="F54" s="79"/>
      <c r="G54" s="303"/>
      <c r="H54" s="79"/>
      <c r="I54" s="304"/>
      <c r="J54" s="669"/>
      <c r="K54" s="62"/>
      <c r="L54" s="305"/>
      <c r="M54" s="305"/>
      <c r="N54" s="305"/>
      <c r="O54" s="305"/>
      <c r="P54" s="305"/>
      <c r="Q54" s="62"/>
      <c r="R54" s="688"/>
      <c r="S54" s="198"/>
      <c r="T54" s="784"/>
      <c r="U54" s="62"/>
      <c r="V54" s="65"/>
      <c r="Y54" s="1095"/>
      <c r="Z54" s="1103"/>
      <c r="AA54" s="1103"/>
      <c r="AB54" s="1103"/>
      <c r="AC54" s="1103"/>
      <c r="AG54" s="1097"/>
      <c r="AH54" s="1093"/>
    </row>
    <row r="55" spans="2:40" ht="12.75" customHeight="1" x14ac:dyDescent="0.3">
      <c r="B55" s="61"/>
      <c r="C55" s="62"/>
      <c r="D55" s="302"/>
      <c r="E55" s="78"/>
      <c r="F55" s="79"/>
      <c r="G55" s="303"/>
      <c r="H55" s="79"/>
      <c r="I55" s="304"/>
      <c r="J55" s="669"/>
      <c r="K55" s="62"/>
      <c r="L55" s="305"/>
      <c r="M55" s="305"/>
      <c r="N55" s="305"/>
      <c r="O55" s="305"/>
      <c r="P55" s="305"/>
      <c r="Q55" s="62"/>
      <c r="R55" s="688"/>
      <c r="S55" s="198"/>
      <c r="T55" s="784"/>
      <c r="U55" s="62"/>
      <c r="V55" s="65"/>
      <c r="Y55" s="1095"/>
      <c r="Z55" s="1103"/>
      <c r="AA55" s="1103"/>
      <c r="AB55" s="1103"/>
      <c r="AC55" s="1103"/>
      <c r="AG55" s="1097"/>
      <c r="AH55" s="1093"/>
    </row>
    <row r="56" spans="2:40" ht="12.75" customHeight="1" x14ac:dyDescent="0.3">
      <c r="B56" s="61"/>
      <c r="C56" s="163"/>
      <c r="D56" s="357"/>
      <c r="E56" s="358"/>
      <c r="F56" s="164"/>
      <c r="G56" s="360"/>
      <c r="H56" s="361"/>
      <c r="I56" s="361"/>
      <c r="J56" s="362"/>
      <c r="K56" s="108"/>
      <c r="L56" s="361"/>
      <c r="M56" s="361"/>
      <c r="N56" s="361"/>
      <c r="O56" s="361"/>
      <c r="P56" s="361"/>
      <c r="Q56" s="108"/>
      <c r="R56" s="393"/>
      <c r="S56" s="363"/>
      <c r="T56" s="778"/>
      <c r="U56" s="109"/>
      <c r="V56" s="1213"/>
      <c r="W56" s="1063"/>
      <c r="AE56" s="1077"/>
      <c r="AF56" s="1078"/>
      <c r="AI56" s="1079"/>
      <c r="AJ56" s="1080"/>
      <c r="AK56" s="283"/>
      <c r="AL56" s="18"/>
    </row>
    <row r="57" spans="2:40" s="236" customFormat="1" ht="12.75" customHeight="1" x14ac:dyDescent="0.3">
      <c r="B57" s="61"/>
      <c r="C57" s="382"/>
      <c r="D57" s="1033" t="s">
        <v>284</v>
      </c>
      <c r="E57" s="1033"/>
      <c r="F57" s="1033"/>
      <c r="G57" s="1033"/>
      <c r="H57" s="1033"/>
      <c r="I57" s="1033"/>
      <c r="J57" s="1033"/>
      <c r="K57" s="1033"/>
      <c r="L57" s="1033" t="s">
        <v>502</v>
      </c>
      <c r="M57" s="1035"/>
      <c r="N57" s="1033"/>
      <c r="O57" s="1033"/>
      <c r="P57" s="1133"/>
      <c r="Q57" s="902"/>
      <c r="R57" s="1033" t="s">
        <v>503</v>
      </c>
      <c r="S57" s="1036"/>
      <c r="T57" s="1134"/>
      <c r="U57" s="1135"/>
      <c r="V57" s="1214"/>
      <c r="W57" s="1064"/>
      <c r="X57" s="384"/>
      <c r="Y57" s="1063"/>
      <c r="Z57" s="1136"/>
      <c r="AA57" s="1063"/>
      <c r="AB57" s="1063"/>
      <c r="AC57" s="1063"/>
      <c r="AD57" s="1137"/>
      <c r="AE57" s="1137"/>
      <c r="AF57" s="1066"/>
      <c r="AG57" s="1090"/>
      <c r="AH57" s="1091"/>
      <c r="AI57" s="1066"/>
      <c r="AJ57" s="1066"/>
      <c r="AM57" s="384"/>
      <c r="AN57" s="384"/>
    </row>
    <row r="58" spans="2:40" s="236" customFormat="1" ht="12.75" customHeight="1" x14ac:dyDescent="0.3">
      <c r="B58" s="61"/>
      <c r="C58" s="382"/>
      <c r="D58" s="903" t="s">
        <v>494</v>
      </c>
      <c r="E58" s="877" t="s">
        <v>181</v>
      </c>
      <c r="F58" s="904" t="s">
        <v>137</v>
      </c>
      <c r="G58" s="905" t="s">
        <v>273</v>
      </c>
      <c r="H58" s="904" t="s">
        <v>206</v>
      </c>
      <c r="I58" s="904" t="s">
        <v>225</v>
      </c>
      <c r="J58" s="906" t="s">
        <v>187</v>
      </c>
      <c r="K58" s="881"/>
      <c r="L58" s="907" t="s">
        <v>479</v>
      </c>
      <c r="M58" s="907" t="s">
        <v>480</v>
      </c>
      <c r="N58" s="907" t="s">
        <v>478</v>
      </c>
      <c r="O58" s="907" t="s">
        <v>479</v>
      </c>
      <c r="P58" s="1138" t="s">
        <v>504</v>
      </c>
      <c r="Q58" s="881"/>
      <c r="R58" s="1037" t="s">
        <v>192</v>
      </c>
      <c r="S58" s="909" t="s">
        <v>505</v>
      </c>
      <c r="T58" s="910" t="s">
        <v>192</v>
      </c>
      <c r="U58" s="1139"/>
      <c r="V58" s="1215"/>
      <c r="W58" s="1101"/>
      <c r="X58" s="386"/>
      <c r="Y58" s="915" t="s">
        <v>303</v>
      </c>
      <c r="Z58" s="1127" t="s">
        <v>497</v>
      </c>
      <c r="AA58" s="1101" t="s">
        <v>498</v>
      </c>
      <c r="AB58" s="1101" t="s">
        <v>498</v>
      </c>
      <c r="AC58" s="1101" t="s">
        <v>495</v>
      </c>
      <c r="AD58" s="1048" t="s">
        <v>488</v>
      </c>
      <c r="AE58" s="1048" t="s">
        <v>489</v>
      </c>
      <c r="AF58" s="916" t="s">
        <v>490</v>
      </c>
      <c r="AG58" s="1092" t="s">
        <v>297</v>
      </c>
      <c r="AH58" s="1091" t="s">
        <v>427</v>
      </c>
      <c r="AI58" s="1066"/>
      <c r="AJ58" s="1066"/>
      <c r="AM58" s="384"/>
      <c r="AN58" s="386"/>
    </row>
    <row r="59" spans="2:40" s="294" customFormat="1" ht="12.75" customHeight="1" x14ac:dyDescent="0.3">
      <c r="B59" s="61"/>
      <c r="C59" s="382"/>
      <c r="D59" s="911"/>
      <c r="E59" s="877"/>
      <c r="F59" s="904" t="s">
        <v>138</v>
      </c>
      <c r="G59" s="905" t="s">
        <v>274</v>
      </c>
      <c r="H59" s="904"/>
      <c r="I59" s="904"/>
      <c r="J59" s="906" t="s">
        <v>276</v>
      </c>
      <c r="K59" s="881"/>
      <c r="L59" s="907" t="s">
        <v>482</v>
      </c>
      <c r="M59" s="907" t="s">
        <v>483</v>
      </c>
      <c r="N59" s="907" t="s">
        <v>481</v>
      </c>
      <c r="O59" s="907" t="s">
        <v>493</v>
      </c>
      <c r="P59" s="1138" t="s">
        <v>269</v>
      </c>
      <c r="Q59" s="881"/>
      <c r="R59" s="908" t="s">
        <v>506</v>
      </c>
      <c r="S59" s="909" t="s">
        <v>484</v>
      </c>
      <c r="T59" s="910" t="s">
        <v>269</v>
      </c>
      <c r="U59" s="887"/>
      <c r="V59" s="1213"/>
      <c r="W59" s="1063"/>
      <c r="X59" s="129"/>
      <c r="Y59" s="915" t="s">
        <v>197</v>
      </c>
      <c r="Z59" s="1129">
        <f>tab!B$50</f>
        <v>0.6</v>
      </c>
      <c r="AA59" s="1101" t="s">
        <v>499</v>
      </c>
      <c r="AB59" s="1101" t="s">
        <v>500</v>
      </c>
      <c r="AC59" s="1101" t="s">
        <v>501</v>
      </c>
      <c r="AD59" s="1048" t="s">
        <v>491</v>
      </c>
      <c r="AE59" s="1048" t="s">
        <v>491</v>
      </c>
      <c r="AF59" s="916" t="s">
        <v>492</v>
      </c>
      <c r="AG59" s="1092"/>
      <c r="AH59" s="1093" t="s">
        <v>224</v>
      </c>
      <c r="AI59" s="1063"/>
      <c r="AJ59" s="1063"/>
      <c r="AN59" s="295"/>
    </row>
    <row r="60" spans="2:40" ht="12.75" customHeight="1" x14ac:dyDescent="0.3">
      <c r="B60" s="61"/>
      <c r="C60" s="114"/>
      <c r="D60" s="367"/>
      <c r="E60" s="367"/>
      <c r="F60" s="367"/>
      <c r="G60" s="367"/>
      <c r="H60" s="367"/>
      <c r="I60" s="367"/>
      <c r="J60" s="367"/>
      <c r="K60" s="365"/>
      <c r="L60" s="367"/>
      <c r="M60" s="367"/>
      <c r="N60" s="367"/>
      <c r="O60" s="367"/>
      <c r="P60" s="367"/>
      <c r="Q60" s="365"/>
      <c r="R60" s="773"/>
      <c r="S60" s="368"/>
      <c r="T60" s="779"/>
      <c r="U60" s="113"/>
      <c r="V60" s="1213"/>
      <c r="W60" s="1063"/>
      <c r="Y60" s="915"/>
      <c r="Z60" s="1064"/>
      <c r="AA60" s="1094"/>
      <c r="AB60" s="1094"/>
      <c r="AC60" s="1094"/>
      <c r="AE60" s="1063"/>
      <c r="AF60" s="1063"/>
      <c r="AG60" s="1092"/>
      <c r="AH60" s="1093"/>
      <c r="AK60" s="8"/>
      <c r="AL60" s="8"/>
      <c r="AN60" s="291"/>
    </row>
    <row r="61" spans="2:40" ht="12.75" customHeight="1" x14ac:dyDescent="0.3">
      <c r="B61" s="61"/>
      <c r="C61" s="114"/>
      <c r="D61" s="353" t="str">
        <f>IF(dir!D38="","",dir!D38)</f>
        <v/>
      </c>
      <c r="E61" s="388" t="str">
        <f>IF(dir!E38=0,"",dir!E38)</f>
        <v>nn</v>
      </c>
      <c r="F61" s="105" t="str">
        <f>IF(dir!F38="","",dir!F38+1)</f>
        <v/>
      </c>
      <c r="G61" s="354" t="str">
        <f>IF(dir!G38="","",dir!G38)</f>
        <v/>
      </c>
      <c r="H61" s="389" t="str">
        <f t="shared" ref="H61:H70" si="40">IF(H38=0,"",H38)</f>
        <v>D11</v>
      </c>
      <c r="I61" s="355">
        <f>IF(J61="","",(IF(dir!I38+1&gt;LOOKUP(H61,schaal2019,regels2019),dir!I38,dir!I38+1)))</f>
        <v>5</v>
      </c>
      <c r="J61" s="356">
        <f>IF(dir!J38="","",dir!J38)</f>
        <v>1</v>
      </c>
      <c r="K61" s="370"/>
      <c r="L61" s="1061">
        <f>IF(dir!L38="","",dir!L38)</f>
        <v>130</v>
      </c>
      <c r="M61" s="1061">
        <f>IF(dir!M38="","",dir!M38)</f>
        <v>170</v>
      </c>
      <c r="N61" s="1051">
        <f t="shared" ref="N61:N70" si="41">IF(J61="","",IF((J61*40)&gt;40,40,((J61*40))))</f>
        <v>40</v>
      </c>
      <c r="O61" s="1051"/>
      <c r="P61" s="1125">
        <f t="shared" ref="P61:P70" si="42">IF(J61="","",(SUM(L61:O61)))</f>
        <v>340</v>
      </c>
      <c r="Q61" s="472"/>
      <c r="R61" s="923">
        <f>IF(J61="","",(((1659*J61)-P61)*AB61))</f>
        <v>58703.2120554551</v>
      </c>
      <c r="S61" s="923">
        <f t="shared" ref="S61:S70" si="43">IF(J61="","",(P61*AC61)+(AA61*AD61)+((AE61*AA61*(1-AF61))))</f>
        <v>10959.564798071129</v>
      </c>
      <c r="T61" s="925">
        <f t="shared" ref="T61:T70" si="44">IF(J61="","",(R61+S61))</f>
        <v>69662.776853526229</v>
      </c>
      <c r="U61" s="236"/>
      <c r="V61" s="1216"/>
      <c r="W61" s="1103"/>
      <c r="X61" s="709"/>
      <c r="Y61" s="1095">
        <f t="shared" ref="Y61:Y70" si="45">IF(H61="","",5/12*VLOOKUP(H61,salaris2020,I61+1,FALSE)+7/12*VLOOKUP(H61,salaris2021,I61+1,FALSE))</f>
        <v>3845.5833333333339</v>
      </c>
      <c r="Z61" s="1094">
        <f>tab!B$50</f>
        <v>0.6</v>
      </c>
      <c r="AA61" s="1126">
        <f t="shared" ref="AA61:AA71" si="46">(Y61*12/1659)</f>
        <v>27.816154309825201</v>
      </c>
      <c r="AB61" s="1126">
        <f t="shared" ref="AB61:AB70" si="47">(Y61*12*(1+Z61))/1659</f>
        <v>44.505846895720317</v>
      </c>
      <c r="AC61" s="1126">
        <f t="shared" ref="AC61:AC70" si="48">AB61-AA61</f>
        <v>16.689692585895116</v>
      </c>
      <c r="AD61" s="1128">
        <f t="shared" ref="AD61:AD70" si="49">(N61+O61)</f>
        <v>40</v>
      </c>
      <c r="AE61" s="1128">
        <f t="shared" ref="AE61:AE70" si="50">(L61+M61)</f>
        <v>300</v>
      </c>
      <c r="AF61" s="1096">
        <f>IF(H61&gt;8,tab!$B$51,tab!$B$54)</f>
        <v>0.5</v>
      </c>
      <c r="AG61" s="1097">
        <f t="shared" ref="AG61:AG70" si="51">IF(F61&lt;25,0,IF(F61=25,25,IF(F61&lt;40,0,IF(F61=40,40,IF(F61&gt;=40,0)))))</f>
        <v>0</v>
      </c>
      <c r="AH61" s="1093">
        <f t="shared" ref="AH61:AH70" si="52">IF(AG61=25,(Y61*1.08*(J61)/2),IF(AG61=40,(Y61*1.08*(J61)),IF(AG61=0,0)))</f>
        <v>0</v>
      </c>
      <c r="AI61" s="1102"/>
    </row>
    <row r="62" spans="2:40" ht="12.75" customHeight="1" x14ac:dyDescent="0.3">
      <c r="B62" s="61"/>
      <c r="C62" s="114"/>
      <c r="D62" s="353" t="str">
        <f>IF(dir!D39="","",dir!D39)</f>
        <v/>
      </c>
      <c r="E62" s="388" t="str">
        <f>IF(dir!E39=0,"",dir!E39)</f>
        <v/>
      </c>
      <c r="F62" s="105" t="str">
        <f>IF(dir!F39="","",dir!F39+1)</f>
        <v/>
      </c>
      <c r="G62" s="354" t="str">
        <f>IF(dir!G39="","",dir!G39)</f>
        <v/>
      </c>
      <c r="H62" s="389" t="str">
        <f t="shared" si="40"/>
        <v/>
      </c>
      <c r="I62" s="355" t="str">
        <f>IF(J62="","",(IF(dir!I39+1&gt;LOOKUP(H62,schaal2019,regels2019),dir!I39,dir!I39+1)))</f>
        <v/>
      </c>
      <c r="J62" s="356" t="str">
        <f>IF(dir!J39="","",dir!J39)</f>
        <v/>
      </c>
      <c r="K62" s="370"/>
      <c r="L62" s="1061">
        <f>IF(dir!L39="","",dir!L39)</f>
        <v>0</v>
      </c>
      <c r="M62" s="1061">
        <f>IF(dir!M39="","",dir!M39)</f>
        <v>0</v>
      </c>
      <c r="N62" s="1051" t="str">
        <f t="shared" si="41"/>
        <v/>
      </c>
      <c r="O62" s="1051"/>
      <c r="P62" s="1125" t="str">
        <f t="shared" si="42"/>
        <v/>
      </c>
      <c r="Q62" s="472"/>
      <c r="R62" s="923" t="str">
        <f t="shared" ref="R62:R70" si="53">IF(J62="","",(((1659*J62)-P62)*AB62))</f>
        <v/>
      </c>
      <c r="S62" s="923" t="str">
        <f t="shared" si="43"/>
        <v/>
      </c>
      <c r="T62" s="925" t="str">
        <f t="shared" si="44"/>
        <v/>
      </c>
      <c r="U62" s="236"/>
      <c r="V62" s="1216"/>
      <c r="W62" s="1103"/>
      <c r="X62" s="709"/>
      <c r="Y62" s="1095" t="str">
        <f t="shared" si="45"/>
        <v/>
      </c>
      <c r="Z62" s="1094">
        <f>tab!B$50</f>
        <v>0.6</v>
      </c>
      <c r="AA62" s="1126" t="e">
        <f t="shared" si="46"/>
        <v>#VALUE!</v>
      </c>
      <c r="AB62" s="1126" t="e">
        <f t="shared" si="47"/>
        <v>#VALUE!</v>
      </c>
      <c r="AC62" s="1126" t="e">
        <f t="shared" si="48"/>
        <v>#VALUE!</v>
      </c>
      <c r="AD62" s="1128" t="e">
        <f t="shared" si="49"/>
        <v>#VALUE!</v>
      </c>
      <c r="AE62" s="1128">
        <f t="shared" si="50"/>
        <v>0</v>
      </c>
      <c r="AF62" s="1096">
        <f>IF(H62&gt;8,tab!$B$51,tab!$B$54)</f>
        <v>0.5</v>
      </c>
      <c r="AG62" s="1097">
        <f t="shared" si="51"/>
        <v>0</v>
      </c>
      <c r="AH62" s="1093">
        <f t="shared" si="52"/>
        <v>0</v>
      </c>
      <c r="AI62" s="1102"/>
    </row>
    <row r="63" spans="2:40" ht="12.75" customHeight="1" x14ac:dyDescent="0.3">
      <c r="B63" s="61"/>
      <c r="C63" s="114"/>
      <c r="D63" s="353" t="str">
        <f>IF(dir!D40="","",dir!D40)</f>
        <v/>
      </c>
      <c r="E63" s="388" t="str">
        <f>IF(dir!E40=0,"",dir!E40)</f>
        <v/>
      </c>
      <c r="F63" s="105" t="str">
        <f>IF(dir!F40="","",dir!F40+1)</f>
        <v/>
      </c>
      <c r="G63" s="354" t="str">
        <f>IF(dir!G40="","",dir!G40)</f>
        <v/>
      </c>
      <c r="H63" s="389" t="str">
        <f t="shared" si="40"/>
        <v/>
      </c>
      <c r="I63" s="355" t="str">
        <f>IF(J63="","",(IF(dir!I40+1&gt;LOOKUP(H63,schaal2019,regels2019),dir!I40,dir!I40+1)))</f>
        <v/>
      </c>
      <c r="J63" s="356" t="str">
        <f>IF(dir!J40="","",dir!J40)</f>
        <v/>
      </c>
      <c r="K63" s="370"/>
      <c r="L63" s="1061">
        <f>IF(dir!L40="","",dir!L40)</f>
        <v>0</v>
      </c>
      <c r="M63" s="1061">
        <f>IF(dir!M40="","",dir!M40)</f>
        <v>0</v>
      </c>
      <c r="N63" s="1051" t="str">
        <f t="shared" si="41"/>
        <v/>
      </c>
      <c r="O63" s="1051"/>
      <c r="P63" s="1125" t="str">
        <f t="shared" si="42"/>
        <v/>
      </c>
      <c r="Q63" s="472"/>
      <c r="R63" s="923" t="str">
        <f t="shared" si="53"/>
        <v/>
      </c>
      <c r="S63" s="923" t="str">
        <f t="shared" si="43"/>
        <v/>
      </c>
      <c r="T63" s="925" t="str">
        <f t="shared" si="44"/>
        <v/>
      </c>
      <c r="U63" s="236"/>
      <c r="V63" s="1216"/>
      <c r="W63" s="1103"/>
      <c r="X63" s="709"/>
      <c r="Y63" s="1095" t="str">
        <f t="shared" si="45"/>
        <v/>
      </c>
      <c r="Z63" s="1094">
        <f>tab!B$50</f>
        <v>0.6</v>
      </c>
      <c r="AA63" s="1126" t="e">
        <f t="shared" si="46"/>
        <v>#VALUE!</v>
      </c>
      <c r="AB63" s="1126" t="e">
        <f t="shared" si="47"/>
        <v>#VALUE!</v>
      </c>
      <c r="AC63" s="1126" t="e">
        <f t="shared" si="48"/>
        <v>#VALUE!</v>
      </c>
      <c r="AD63" s="1128" t="e">
        <f t="shared" si="49"/>
        <v>#VALUE!</v>
      </c>
      <c r="AE63" s="1128">
        <f t="shared" si="50"/>
        <v>0</v>
      </c>
      <c r="AF63" s="1096">
        <f>IF(H63&gt;8,tab!$B$51,tab!$B$54)</f>
        <v>0.5</v>
      </c>
      <c r="AG63" s="1097">
        <f t="shared" si="51"/>
        <v>0</v>
      </c>
      <c r="AH63" s="1093">
        <f t="shared" si="52"/>
        <v>0</v>
      </c>
      <c r="AI63" s="1102"/>
    </row>
    <row r="64" spans="2:40" ht="12.75" customHeight="1" x14ac:dyDescent="0.3">
      <c r="B64" s="61"/>
      <c r="C64" s="114"/>
      <c r="D64" s="353" t="str">
        <f>IF(dir!D41="","",dir!D41)</f>
        <v/>
      </c>
      <c r="E64" s="388" t="str">
        <f>IF(dir!E41=0,"",dir!E41)</f>
        <v/>
      </c>
      <c r="F64" s="105" t="str">
        <f>IF(dir!F41="","",dir!F41+1)</f>
        <v/>
      </c>
      <c r="G64" s="354" t="str">
        <f>IF(dir!G41="","",dir!G41)</f>
        <v/>
      </c>
      <c r="H64" s="389" t="str">
        <f t="shared" si="40"/>
        <v/>
      </c>
      <c r="I64" s="355" t="str">
        <f>IF(J64="","",(IF(dir!I41+1&gt;LOOKUP(H64,schaal2019,regels2019),dir!I41,dir!I41+1)))</f>
        <v/>
      </c>
      <c r="J64" s="356" t="str">
        <f>IF(dir!J41="","",dir!J41)</f>
        <v/>
      </c>
      <c r="K64" s="370"/>
      <c r="L64" s="1061">
        <f>IF(dir!L41="","",dir!L41)</f>
        <v>0</v>
      </c>
      <c r="M64" s="1061">
        <f>IF(dir!M41="","",dir!M41)</f>
        <v>0</v>
      </c>
      <c r="N64" s="1051" t="str">
        <f t="shared" si="41"/>
        <v/>
      </c>
      <c r="O64" s="1051"/>
      <c r="P64" s="1125" t="str">
        <f t="shared" si="42"/>
        <v/>
      </c>
      <c r="Q64" s="472"/>
      <c r="R64" s="923" t="str">
        <f t="shared" si="53"/>
        <v/>
      </c>
      <c r="S64" s="923" t="str">
        <f t="shared" si="43"/>
        <v/>
      </c>
      <c r="T64" s="925" t="str">
        <f t="shared" si="44"/>
        <v/>
      </c>
      <c r="U64" s="236"/>
      <c r="V64" s="1216"/>
      <c r="W64" s="1103"/>
      <c r="X64" s="709"/>
      <c r="Y64" s="1095" t="str">
        <f t="shared" si="45"/>
        <v/>
      </c>
      <c r="Z64" s="1094">
        <f>tab!B$50</f>
        <v>0.6</v>
      </c>
      <c r="AA64" s="1126" t="e">
        <f t="shared" si="46"/>
        <v>#VALUE!</v>
      </c>
      <c r="AB64" s="1126" t="e">
        <f t="shared" si="47"/>
        <v>#VALUE!</v>
      </c>
      <c r="AC64" s="1126" t="e">
        <f t="shared" si="48"/>
        <v>#VALUE!</v>
      </c>
      <c r="AD64" s="1128" t="e">
        <f t="shared" si="49"/>
        <v>#VALUE!</v>
      </c>
      <c r="AE64" s="1128">
        <f t="shared" si="50"/>
        <v>0</v>
      </c>
      <c r="AF64" s="1096">
        <f>IF(H64&gt;8,tab!$B$51,tab!$B$54)</f>
        <v>0.5</v>
      </c>
      <c r="AG64" s="1097">
        <f t="shared" si="51"/>
        <v>0</v>
      </c>
      <c r="AH64" s="1093">
        <f t="shared" si="52"/>
        <v>0</v>
      </c>
      <c r="AI64" s="1102"/>
    </row>
    <row r="65" spans="2:40" ht="12.75" customHeight="1" x14ac:dyDescent="0.3">
      <c r="B65" s="61"/>
      <c r="C65" s="114"/>
      <c r="D65" s="353" t="str">
        <f>IF(dir!D42="","",dir!D42)</f>
        <v/>
      </c>
      <c r="E65" s="388" t="str">
        <f>IF(dir!E42=0,"",dir!E42)</f>
        <v/>
      </c>
      <c r="F65" s="105" t="str">
        <f>IF(dir!F42="","",dir!F42+1)</f>
        <v/>
      </c>
      <c r="G65" s="354" t="str">
        <f>IF(dir!G42="","",dir!G42)</f>
        <v/>
      </c>
      <c r="H65" s="389" t="str">
        <f t="shared" si="40"/>
        <v/>
      </c>
      <c r="I65" s="355" t="str">
        <f>IF(J65="","",(IF(dir!I42+1&gt;LOOKUP(H65,schaal2019,regels2019),dir!I42,dir!I42+1)))</f>
        <v/>
      </c>
      <c r="J65" s="356" t="str">
        <f>IF(dir!J42="","",dir!J42)</f>
        <v/>
      </c>
      <c r="K65" s="370"/>
      <c r="L65" s="1061">
        <f>IF(dir!L42="","",dir!L42)</f>
        <v>0</v>
      </c>
      <c r="M65" s="1061">
        <f>IF(dir!M42="","",dir!M42)</f>
        <v>0</v>
      </c>
      <c r="N65" s="1051" t="str">
        <f t="shared" si="41"/>
        <v/>
      </c>
      <c r="O65" s="1051"/>
      <c r="P65" s="1125" t="str">
        <f t="shared" si="42"/>
        <v/>
      </c>
      <c r="Q65" s="472"/>
      <c r="R65" s="923" t="str">
        <f t="shared" si="53"/>
        <v/>
      </c>
      <c r="S65" s="923" t="str">
        <f t="shared" si="43"/>
        <v/>
      </c>
      <c r="T65" s="925" t="str">
        <f t="shared" si="44"/>
        <v/>
      </c>
      <c r="U65" s="236"/>
      <c r="V65" s="1216"/>
      <c r="W65" s="1103"/>
      <c r="X65" s="709"/>
      <c r="Y65" s="1095" t="str">
        <f t="shared" si="45"/>
        <v/>
      </c>
      <c r="Z65" s="1094">
        <f>tab!B$50</f>
        <v>0.6</v>
      </c>
      <c r="AA65" s="1126" t="e">
        <f t="shared" si="46"/>
        <v>#VALUE!</v>
      </c>
      <c r="AB65" s="1126" t="e">
        <f t="shared" si="47"/>
        <v>#VALUE!</v>
      </c>
      <c r="AC65" s="1126" t="e">
        <f t="shared" si="48"/>
        <v>#VALUE!</v>
      </c>
      <c r="AD65" s="1128" t="e">
        <f t="shared" si="49"/>
        <v>#VALUE!</v>
      </c>
      <c r="AE65" s="1128">
        <f t="shared" si="50"/>
        <v>0</v>
      </c>
      <c r="AF65" s="1096">
        <f>IF(H65&gt;8,tab!$B$51,tab!$B$54)</f>
        <v>0.5</v>
      </c>
      <c r="AG65" s="1097">
        <f t="shared" si="51"/>
        <v>0</v>
      </c>
      <c r="AH65" s="1093">
        <f t="shared" si="52"/>
        <v>0</v>
      </c>
      <c r="AI65" s="1102"/>
    </row>
    <row r="66" spans="2:40" ht="12.75" customHeight="1" x14ac:dyDescent="0.3">
      <c r="B66" s="61"/>
      <c r="C66" s="114"/>
      <c r="D66" s="353" t="str">
        <f>IF(dir!D43="","",dir!D43)</f>
        <v/>
      </c>
      <c r="E66" s="388" t="str">
        <f>IF(dir!E43=0,"",dir!E43)</f>
        <v/>
      </c>
      <c r="F66" s="105" t="str">
        <f>IF(dir!F43="","",dir!F43+1)</f>
        <v/>
      </c>
      <c r="G66" s="354" t="str">
        <f>IF(dir!G43="","",dir!G43)</f>
        <v/>
      </c>
      <c r="H66" s="389" t="str">
        <f t="shared" si="40"/>
        <v/>
      </c>
      <c r="I66" s="355" t="str">
        <f>IF(J66="","",(IF(dir!I43+1&gt;LOOKUP(H66,schaal2019,regels2019),dir!I43,dir!I43+1)))</f>
        <v/>
      </c>
      <c r="J66" s="356" t="str">
        <f>IF(dir!J43="","",dir!J43)</f>
        <v/>
      </c>
      <c r="K66" s="370"/>
      <c r="L66" s="1061">
        <f>IF(dir!L43="","",dir!L43)</f>
        <v>0</v>
      </c>
      <c r="M66" s="1061">
        <f>IF(dir!M43="","",dir!M43)</f>
        <v>0</v>
      </c>
      <c r="N66" s="1051" t="str">
        <f t="shared" si="41"/>
        <v/>
      </c>
      <c r="O66" s="1051"/>
      <c r="P66" s="1125" t="str">
        <f t="shared" si="42"/>
        <v/>
      </c>
      <c r="Q66" s="472"/>
      <c r="R66" s="923" t="str">
        <f t="shared" si="53"/>
        <v/>
      </c>
      <c r="S66" s="923" t="str">
        <f t="shared" si="43"/>
        <v/>
      </c>
      <c r="T66" s="925" t="str">
        <f t="shared" si="44"/>
        <v/>
      </c>
      <c r="U66" s="236"/>
      <c r="V66" s="1216"/>
      <c r="W66" s="1103"/>
      <c r="X66" s="709"/>
      <c r="Y66" s="1095" t="str">
        <f t="shared" si="45"/>
        <v/>
      </c>
      <c r="Z66" s="1094">
        <f>tab!B$50</f>
        <v>0.6</v>
      </c>
      <c r="AA66" s="1126" t="e">
        <f t="shared" si="46"/>
        <v>#VALUE!</v>
      </c>
      <c r="AB66" s="1126" t="e">
        <f t="shared" si="47"/>
        <v>#VALUE!</v>
      </c>
      <c r="AC66" s="1126" t="e">
        <f t="shared" si="48"/>
        <v>#VALUE!</v>
      </c>
      <c r="AD66" s="1128" t="e">
        <f t="shared" si="49"/>
        <v>#VALUE!</v>
      </c>
      <c r="AE66" s="1128">
        <f t="shared" si="50"/>
        <v>0</v>
      </c>
      <c r="AF66" s="1096">
        <f>IF(H66&gt;8,tab!$B$51,tab!$B$54)</f>
        <v>0.5</v>
      </c>
      <c r="AG66" s="1097">
        <f t="shared" si="51"/>
        <v>0</v>
      </c>
      <c r="AH66" s="1093">
        <f t="shared" si="52"/>
        <v>0</v>
      </c>
      <c r="AI66" s="1102"/>
    </row>
    <row r="67" spans="2:40" ht="12.75" customHeight="1" x14ac:dyDescent="0.3">
      <c r="B67" s="61"/>
      <c r="C67" s="114"/>
      <c r="D67" s="353" t="str">
        <f>IF(dir!D44="","",dir!D44)</f>
        <v/>
      </c>
      <c r="E67" s="388" t="str">
        <f>IF(dir!E44=0,"",dir!E44)</f>
        <v/>
      </c>
      <c r="F67" s="105" t="str">
        <f>IF(dir!F44="","",dir!F44+1)</f>
        <v/>
      </c>
      <c r="G67" s="354" t="str">
        <f>IF(dir!G44="","",dir!G44)</f>
        <v/>
      </c>
      <c r="H67" s="389" t="str">
        <f t="shared" si="40"/>
        <v/>
      </c>
      <c r="I67" s="355" t="str">
        <f>IF(J67="","",(IF(dir!I44+1&gt;LOOKUP(H67,schaal2019,regels2019),dir!I44,dir!I44+1)))</f>
        <v/>
      </c>
      <c r="J67" s="356" t="str">
        <f>IF(dir!J44="","",dir!J44)</f>
        <v/>
      </c>
      <c r="K67" s="370"/>
      <c r="L67" s="1061">
        <f>IF(dir!L44="","",dir!L44)</f>
        <v>0</v>
      </c>
      <c r="M67" s="1061">
        <f>IF(dir!M44="","",dir!M44)</f>
        <v>0</v>
      </c>
      <c r="N67" s="1051" t="str">
        <f t="shared" si="41"/>
        <v/>
      </c>
      <c r="O67" s="1051"/>
      <c r="P67" s="1125" t="str">
        <f t="shared" si="42"/>
        <v/>
      </c>
      <c r="Q67" s="472"/>
      <c r="R67" s="923" t="str">
        <f t="shared" si="53"/>
        <v/>
      </c>
      <c r="S67" s="923" t="str">
        <f t="shared" si="43"/>
        <v/>
      </c>
      <c r="T67" s="925" t="str">
        <f t="shared" si="44"/>
        <v/>
      </c>
      <c r="U67" s="236"/>
      <c r="V67" s="1216"/>
      <c r="W67" s="1103"/>
      <c r="X67" s="709"/>
      <c r="Y67" s="1095" t="str">
        <f t="shared" si="45"/>
        <v/>
      </c>
      <c r="Z67" s="1094">
        <f>tab!B$50</f>
        <v>0.6</v>
      </c>
      <c r="AA67" s="1126" t="e">
        <f t="shared" si="46"/>
        <v>#VALUE!</v>
      </c>
      <c r="AB67" s="1126" t="e">
        <f t="shared" si="47"/>
        <v>#VALUE!</v>
      </c>
      <c r="AC67" s="1126" t="e">
        <f t="shared" si="48"/>
        <v>#VALUE!</v>
      </c>
      <c r="AD67" s="1128" t="e">
        <f t="shared" si="49"/>
        <v>#VALUE!</v>
      </c>
      <c r="AE67" s="1128">
        <f t="shared" si="50"/>
        <v>0</v>
      </c>
      <c r="AF67" s="1096">
        <f>IF(H67&gt;8,tab!$B$51,tab!$B$54)</f>
        <v>0.5</v>
      </c>
      <c r="AG67" s="1097">
        <f t="shared" si="51"/>
        <v>0</v>
      </c>
      <c r="AH67" s="1093">
        <f t="shared" si="52"/>
        <v>0</v>
      </c>
      <c r="AI67" s="1102"/>
    </row>
    <row r="68" spans="2:40" ht="12.75" customHeight="1" x14ac:dyDescent="0.3">
      <c r="B68" s="61"/>
      <c r="C68" s="114"/>
      <c r="D68" s="353" t="str">
        <f>IF(dir!D45="","",dir!D45)</f>
        <v/>
      </c>
      <c r="E68" s="388" t="str">
        <f>IF(dir!E45=0,"",dir!E45)</f>
        <v/>
      </c>
      <c r="F68" s="105" t="str">
        <f>IF(dir!F45="","",dir!F45+1)</f>
        <v/>
      </c>
      <c r="G68" s="354" t="str">
        <f>IF(dir!G45="","",dir!G45)</f>
        <v/>
      </c>
      <c r="H68" s="389" t="str">
        <f t="shared" si="40"/>
        <v/>
      </c>
      <c r="I68" s="355" t="str">
        <f>IF(J68="","",(IF(dir!I45+1&gt;LOOKUP(H68,schaal2019,regels2019),dir!I45,dir!I45+1)))</f>
        <v/>
      </c>
      <c r="J68" s="356" t="str">
        <f>IF(dir!J45="","",dir!J45)</f>
        <v/>
      </c>
      <c r="K68" s="370"/>
      <c r="L68" s="1061">
        <f>IF(dir!L45="","",dir!L45)</f>
        <v>0</v>
      </c>
      <c r="M68" s="1061">
        <f>IF(dir!M45="","",dir!M45)</f>
        <v>0</v>
      </c>
      <c r="N68" s="1051" t="str">
        <f t="shared" si="41"/>
        <v/>
      </c>
      <c r="O68" s="1051"/>
      <c r="P68" s="1125" t="str">
        <f t="shared" si="42"/>
        <v/>
      </c>
      <c r="Q68" s="472"/>
      <c r="R68" s="923" t="str">
        <f t="shared" si="53"/>
        <v/>
      </c>
      <c r="S68" s="923" t="str">
        <f t="shared" si="43"/>
        <v/>
      </c>
      <c r="T68" s="925" t="str">
        <f t="shared" si="44"/>
        <v/>
      </c>
      <c r="U68" s="236"/>
      <c r="V68" s="1216"/>
      <c r="W68" s="1103"/>
      <c r="X68" s="709"/>
      <c r="Y68" s="1095" t="str">
        <f t="shared" si="45"/>
        <v/>
      </c>
      <c r="Z68" s="1094">
        <f>tab!B$50</f>
        <v>0.6</v>
      </c>
      <c r="AA68" s="1126" t="e">
        <f t="shared" si="46"/>
        <v>#VALUE!</v>
      </c>
      <c r="AB68" s="1126" t="e">
        <f t="shared" si="47"/>
        <v>#VALUE!</v>
      </c>
      <c r="AC68" s="1126" t="e">
        <f t="shared" si="48"/>
        <v>#VALUE!</v>
      </c>
      <c r="AD68" s="1128" t="e">
        <f t="shared" si="49"/>
        <v>#VALUE!</v>
      </c>
      <c r="AE68" s="1128">
        <f t="shared" si="50"/>
        <v>0</v>
      </c>
      <c r="AF68" s="1096">
        <f>IF(H68&gt;8,tab!$B$51,tab!$B$54)</f>
        <v>0.5</v>
      </c>
      <c r="AG68" s="1097">
        <f t="shared" si="51"/>
        <v>0</v>
      </c>
      <c r="AH68" s="1093">
        <f t="shared" si="52"/>
        <v>0</v>
      </c>
      <c r="AI68" s="1102"/>
    </row>
    <row r="69" spans="2:40" ht="12.75" customHeight="1" x14ac:dyDescent="0.3">
      <c r="B69" s="61"/>
      <c r="C69" s="114"/>
      <c r="D69" s="353" t="str">
        <f>IF(dir!D46="","",dir!D46)</f>
        <v/>
      </c>
      <c r="E69" s="388" t="str">
        <f>IF(dir!E46=0,"",dir!E46)</f>
        <v/>
      </c>
      <c r="F69" s="105" t="str">
        <f>IF(dir!F46="","",dir!F46+1)</f>
        <v/>
      </c>
      <c r="G69" s="354" t="str">
        <f>IF(dir!G46="","",dir!G46)</f>
        <v/>
      </c>
      <c r="H69" s="389" t="str">
        <f t="shared" si="40"/>
        <v/>
      </c>
      <c r="I69" s="355" t="str">
        <f>IF(J69="","",(IF(dir!I46+1&gt;LOOKUP(H69,schaal2019,regels2019),dir!I46,dir!I46+1)))</f>
        <v/>
      </c>
      <c r="J69" s="356" t="str">
        <f>IF(dir!J46="","",dir!J46)</f>
        <v/>
      </c>
      <c r="K69" s="370"/>
      <c r="L69" s="1061">
        <f>IF(dir!L46="","",dir!L46)</f>
        <v>0</v>
      </c>
      <c r="M69" s="1061">
        <f>IF(dir!M46="","",dir!M46)</f>
        <v>0</v>
      </c>
      <c r="N69" s="1051" t="str">
        <f t="shared" si="41"/>
        <v/>
      </c>
      <c r="O69" s="1051"/>
      <c r="P69" s="1125" t="str">
        <f t="shared" si="42"/>
        <v/>
      </c>
      <c r="Q69" s="472"/>
      <c r="R69" s="923" t="str">
        <f t="shared" si="53"/>
        <v/>
      </c>
      <c r="S69" s="923" t="str">
        <f t="shared" si="43"/>
        <v/>
      </c>
      <c r="T69" s="925" t="str">
        <f t="shared" si="44"/>
        <v/>
      </c>
      <c r="U69" s="236"/>
      <c r="V69" s="1216"/>
      <c r="W69" s="1103"/>
      <c r="X69" s="709"/>
      <c r="Y69" s="1095" t="str">
        <f t="shared" si="45"/>
        <v/>
      </c>
      <c r="Z69" s="1094">
        <f>tab!B$50</f>
        <v>0.6</v>
      </c>
      <c r="AA69" s="1126" t="e">
        <f t="shared" si="46"/>
        <v>#VALUE!</v>
      </c>
      <c r="AB69" s="1126" t="e">
        <f t="shared" si="47"/>
        <v>#VALUE!</v>
      </c>
      <c r="AC69" s="1126" t="e">
        <f t="shared" si="48"/>
        <v>#VALUE!</v>
      </c>
      <c r="AD69" s="1128" t="e">
        <f t="shared" si="49"/>
        <v>#VALUE!</v>
      </c>
      <c r="AE69" s="1128">
        <f t="shared" si="50"/>
        <v>0</v>
      </c>
      <c r="AF69" s="1096">
        <f>IF(H69&gt;8,tab!$B$51,tab!$B$54)</f>
        <v>0.5</v>
      </c>
      <c r="AG69" s="1097">
        <f t="shared" si="51"/>
        <v>0</v>
      </c>
      <c r="AH69" s="1093">
        <f t="shared" si="52"/>
        <v>0</v>
      </c>
      <c r="AI69" s="1102"/>
    </row>
    <row r="70" spans="2:40" ht="12.75" customHeight="1" x14ac:dyDescent="0.3">
      <c r="B70" s="61"/>
      <c r="C70" s="114"/>
      <c r="D70" s="353" t="str">
        <f>IF(dir!D47="","",dir!D47)</f>
        <v/>
      </c>
      <c r="E70" s="388" t="str">
        <f>IF(dir!E47=0,"",dir!E47)</f>
        <v/>
      </c>
      <c r="F70" s="105" t="str">
        <f>IF(dir!F47="","",dir!F47+1)</f>
        <v/>
      </c>
      <c r="G70" s="354" t="str">
        <f>IF(dir!G47="","",dir!G47)</f>
        <v/>
      </c>
      <c r="H70" s="389" t="str">
        <f t="shared" si="40"/>
        <v/>
      </c>
      <c r="I70" s="355" t="str">
        <f>IF(J70="","",(IF(dir!I47+1&gt;LOOKUP(H70,schaal2019,regels2019),dir!I47,dir!I47+1)))</f>
        <v/>
      </c>
      <c r="J70" s="356" t="str">
        <f>IF(dir!J47="","",dir!J47)</f>
        <v/>
      </c>
      <c r="K70" s="370"/>
      <c r="L70" s="1061">
        <f>IF(dir!L47="","",dir!L47)</f>
        <v>0</v>
      </c>
      <c r="M70" s="1061">
        <f>IF(dir!M47="","",dir!M47)</f>
        <v>0</v>
      </c>
      <c r="N70" s="1051" t="str">
        <f t="shared" si="41"/>
        <v/>
      </c>
      <c r="O70" s="1051"/>
      <c r="P70" s="1125" t="str">
        <f t="shared" si="42"/>
        <v/>
      </c>
      <c r="Q70" s="472"/>
      <c r="R70" s="923" t="str">
        <f t="shared" si="53"/>
        <v/>
      </c>
      <c r="S70" s="923" t="str">
        <f t="shared" si="43"/>
        <v/>
      </c>
      <c r="T70" s="925" t="str">
        <f t="shared" si="44"/>
        <v/>
      </c>
      <c r="U70" s="236"/>
      <c r="V70" s="1216"/>
      <c r="W70" s="1103"/>
      <c r="X70" s="709"/>
      <c r="Y70" s="1095" t="str">
        <f t="shared" si="45"/>
        <v/>
      </c>
      <c r="Z70" s="1094">
        <f>tab!B$50</f>
        <v>0.6</v>
      </c>
      <c r="AA70" s="1126" t="e">
        <f t="shared" si="46"/>
        <v>#VALUE!</v>
      </c>
      <c r="AB70" s="1126" t="e">
        <f t="shared" si="47"/>
        <v>#VALUE!</v>
      </c>
      <c r="AC70" s="1126" t="e">
        <f t="shared" si="48"/>
        <v>#VALUE!</v>
      </c>
      <c r="AD70" s="1128" t="e">
        <f t="shared" si="49"/>
        <v>#VALUE!</v>
      </c>
      <c r="AE70" s="1128">
        <f t="shared" si="50"/>
        <v>0</v>
      </c>
      <c r="AF70" s="1096">
        <f>IF(H70&gt;8,tab!$B$51,tab!$B$54)</f>
        <v>0.5</v>
      </c>
      <c r="AG70" s="1097">
        <f t="shared" si="51"/>
        <v>0</v>
      </c>
      <c r="AH70" s="1093">
        <f t="shared" si="52"/>
        <v>0</v>
      </c>
      <c r="AI70" s="1102"/>
    </row>
    <row r="71" spans="2:40" ht="12.75" customHeight="1" x14ac:dyDescent="0.3">
      <c r="B71" s="61"/>
      <c r="C71" s="114"/>
      <c r="D71" s="166"/>
      <c r="E71" s="212"/>
      <c r="F71" s="372"/>
      <c r="G71" s="373"/>
      <c r="H71" s="116"/>
      <c r="I71" s="116"/>
      <c r="J71" s="919">
        <f>SUM(J61:J70)</f>
        <v>1</v>
      </c>
      <c r="K71" s="372"/>
      <c r="L71" s="1039">
        <f t="shared" ref="L71:P71" si="54">SUM(L61:L70)</f>
        <v>130</v>
      </c>
      <c r="M71" s="1039">
        <f t="shared" si="54"/>
        <v>170</v>
      </c>
      <c r="N71" s="1039">
        <f>SUM(N61:N70)</f>
        <v>40</v>
      </c>
      <c r="O71" s="1039"/>
      <c r="P71" s="1039">
        <f t="shared" si="54"/>
        <v>340</v>
      </c>
      <c r="Q71" s="372"/>
      <c r="R71" s="920">
        <f t="shared" ref="R71:T71" si="55">SUM(R61:R70)</f>
        <v>58703.2120554551</v>
      </c>
      <c r="S71" s="921">
        <f t="shared" si="55"/>
        <v>10959.564798071129</v>
      </c>
      <c r="T71" s="920">
        <f t="shared" si="55"/>
        <v>69662.776853526229</v>
      </c>
      <c r="U71" s="371"/>
      <c r="V71" s="1213"/>
      <c r="W71" s="1063"/>
      <c r="Y71" s="1098">
        <f>SUM(Y61:Y70)</f>
        <v>3845.5833333333339</v>
      </c>
      <c r="Z71" s="1130"/>
      <c r="AA71" s="1098">
        <f t="shared" si="46"/>
        <v>27.816154309825201</v>
      </c>
      <c r="AB71" s="1098"/>
      <c r="AC71" s="1098"/>
      <c r="AG71" s="1099"/>
      <c r="AH71" s="1100"/>
      <c r="AI71" s="1102"/>
    </row>
    <row r="72" spans="2:40" ht="12.75" customHeight="1" x14ac:dyDescent="0.3">
      <c r="B72" s="80"/>
      <c r="C72" s="1217"/>
      <c r="D72" s="1218"/>
      <c r="E72" s="1219"/>
      <c r="F72" s="1220"/>
      <c r="G72" s="1221"/>
      <c r="H72" s="1220"/>
      <c r="I72" s="1222"/>
      <c r="J72" s="1223"/>
      <c r="K72" s="1219"/>
      <c r="L72" s="1222"/>
      <c r="M72" s="1222"/>
      <c r="N72" s="1222"/>
      <c r="O72" s="1222"/>
      <c r="P72" s="1222"/>
      <c r="Q72" s="1219"/>
      <c r="R72" s="1224"/>
      <c r="S72" s="1225"/>
      <c r="T72" s="1226"/>
      <c r="U72" s="1227"/>
      <c r="V72" s="1228"/>
      <c r="W72" s="1063"/>
      <c r="Y72" s="1079"/>
      <c r="Z72" s="1130"/>
      <c r="AA72" s="1098"/>
      <c r="AB72" s="1098"/>
      <c r="AC72" s="1098"/>
      <c r="AG72" s="1099"/>
      <c r="AH72" s="1100"/>
      <c r="AI72" s="1102"/>
    </row>
    <row r="73" spans="2:40" ht="12.75" customHeight="1" x14ac:dyDescent="0.3">
      <c r="H73" s="16"/>
      <c r="J73" s="292"/>
      <c r="L73" s="18"/>
      <c r="M73" s="18"/>
      <c r="N73" s="18"/>
      <c r="O73" s="18"/>
      <c r="P73" s="18"/>
      <c r="R73" s="397"/>
      <c r="S73" s="154"/>
      <c r="T73" s="782"/>
      <c r="V73" s="1063"/>
      <c r="W73" s="1063"/>
      <c r="Y73" s="1095"/>
      <c r="Z73" s="1103"/>
      <c r="AA73" s="1103"/>
      <c r="AB73" s="1103"/>
      <c r="AC73" s="1103"/>
      <c r="AG73" s="1097"/>
      <c r="AH73" s="1093"/>
    </row>
    <row r="74" spans="2:40" ht="12.75" customHeight="1" x14ac:dyDescent="0.3">
      <c r="H74" s="16"/>
      <c r="J74" s="292"/>
      <c r="L74" s="18"/>
      <c r="M74" s="18"/>
      <c r="N74" s="18"/>
      <c r="O74" s="18"/>
      <c r="P74" s="18"/>
      <c r="R74" s="397"/>
      <c r="S74" s="154"/>
      <c r="T74" s="782"/>
      <c r="V74" s="1063"/>
      <c r="W74" s="1063"/>
      <c r="Y74" s="1095"/>
      <c r="Z74" s="1103"/>
      <c r="AA74" s="1103"/>
      <c r="AB74" s="1103"/>
      <c r="AC74" s="1103"/>
      <c r="AG74" s="1097"/>
      <c r="AH74" s="1093"/>
    </row>
    <row r="75" spans="2:40" ht="12.75" customHeight="1" x14ac:dyDescent="0.3">
      <c r="C75" s="8" t="s">
        <v>180</v>
      </c>
      <c r="E75" s="238" t="str">
        <f>tab!D2</f>
        <v>2022/23</v>
      </c>
      <c r="H75" s="16"/>
      <c r="J75" s="292"/>
      <c r="L75" s="18"/>
      <c r="M75" s="18"/>
      <c r="N75" s="18"/>
      <c r="O75" s="18"/>
      <c r="P75" s="18"/>
      <c r="R75" s="397"/>
      <c r="S75" s="154"/>
      <c r="T75" s="782"/>
      <c r="V75" s="1063"/>
      <c r="W75" s="1063"/>
      <c r="Y75" s="1095"/>
      <c r="Z75" s="1103"/>
      <c r="AA75" s="1103"/>
      <c r="AB75" s="1103"/>
      <c r="AC75" s="1103"/>
      <c r="AG75" s="1097"/>
      <c r="AH75" s="1093"/>
    </row>
    <row r="76" spans="2:40" ht="12.75" customHeight="1" x14ac:dyDescent="0.3">
      <c r="C76" s="15" t="s">
        <v>193</v>
      </c>
      <c r="E76" s="289">
        <f>tab!E3</f>
        <v>44835</v>
      </c>
      <c r="H76" s="16"/>
      <c r="J76" s="292"/>
      <c r="L76" s="18"/>
      <c r="M76" s="18"/>
      <c r="N76" s="18"/>
      <c r="O76" s="18"/>
      <c r="P76" s="18"/>
      <c r="R76" s="397"/>
      <c r="S76" s="154"/>
      <c r="T76" s="782"/>
      <c r="V76" s="1063"/>
      <c r="W76" s="1063"/>
      <c r="Y76" s="1095"/>
      <c r="Z76" s="1103"/>
      <c r="AA76" s="1103"/>
      <c r="AB76" s="1103"/>
      <c r="AC76" s="1103"/>
      <c r="AG76" s="1097"/>
      <c r="AH76" s="1093"/>
    </row>
    <row r="77" spans="2:40" ht="12.75" customHeight="1" x14ac:dyDescent="0.3">
      <c r="H77" s="16"/>
      <c r="J77" s="292"/>
      <c r="L77" s="18"/>
      <c r="M77" s="18"/>
      <c r="N77" s="18"/>
      <c r="O77" s="18"/>
      <c r="P77" s="18"/>
      <c r="R77" s="397"/>
      <c r="S77" s="154"/>
      <c r="T77" s="782"/>
      <c r="V77" s="1063"/>
      <c r="W77" s="1063"/>
      <c r="Y77" s="1095"/>
      <c r="Z77" s="1103"/>
      <c r="AA77" s="1103"/>
      <c r="AB77" s="1103"/>
      <c r="AC77" s="1103"/>
      <c r="AG77" s="1097"/>
      <c r="AH77" s="1093"/>
    </row>
    <row r="78" spans="2:40" ht="12.75" customHeight="1" x14ac:dyDescent="0.3">
      <c r="C78" s="163"/>
      <c r="D78" s="357"/>
      <c r="E78" s="358"/>
      <c r="F78" s="164"/>
      <c r="G78" s="360"/>
      <c r="H78" s="361"/>
      <c r="I78" s="361"/>
      <c r="J78" s="362"/>
      <c r="K78" s="108"/>
      <c r="L78" s="361"/>
      <c r="M78" s="361"/>
      <c r="N78" s="361"/>
      <c r="O78" s="361"/>
      <c r="P78" s="361"/>
      <c r="Q78" s="108"/>
      <c r="R78" s="393"/>
      <c r="S78" s="363"/>
      <c r="T78" s="778"/>
      <c r="U78" s="109"/>
      <c r="V78" s="1063"/>
      <c r="W78" s="1063"/>
      <c r="AE78" s="1077"/>
      <c r="AF78" s="1078"/>
      <c r="AI78" s="1079"/>
      <c r="AJ78" s="1080"/>
      <c r="AK78" s="283"/>
      <c r="AL78" s="18"/>
    </row>
    <row r="79" spans="2:40" s="236" customFormat="1" ht="12.75" customHeight="1" x14ac:dyDescent="0.3">
      <c r="B79" s="8"/>
      <c r="C79" s="382"/>
      <c r="D79" s="1033" t="s">
        <v>284</v>
      </c>
      <c r="E79" s="1033"/>
      <c r="F79" s="1033"/>
      <c r="G79" s="1033"/>
      <c r="H79" s="1033"/>
      <c r="I79" s="1033"/>
      <c r="J79" s="1033"/>
      <c r="K79" s="1033"/>
      <c r="L79" s="1033" t="s">
        <v>502</v>
      </c>
      <c r="M79" s="1035"/>
      <c r="N79" s="1033"/>
      <c r="O79" s="1033"/>
      <c r="P79" s="1133"/>
      <c r="Q79" s="902"/>
      <c r="R79" s="1033" t="s">
        <v>503</v>
      </c>
      <c r="S79" s="1036"/>
      <c r="T79" s="1134"/>
      <c r="U79" s="1135"/>
      <c r="V79" s="1064"/>
      <c r="W79" s="1064"/>
      <c r="X79" s="384"/>
      <c r="Y79" s="1063"/>
      <c r="Z79" s="1136"/>
      <c r="AA79" s="1063"/>
      <c r="AB79" s="1063"/>
      <c r="AC79" s="1063"/>
      <c r="AD79" s="1137"/>
      <c r="AE79" s="1137"/>
      <c r="AF79" s="1066"/>
      <c r="AG79" s="1090"/>
      <c r="AH79" s="1091"/>
      <c r="AI79" s="1066"/>
      <c r="AJ79" s="1066"/>
      <c r="AM79" s="384"/>
      <c r="AN79" s="384"/>
    </row>
    <row r="80" spans="2:40" s="236" customFormat="1" ht="12.75" customHeight="1" x14ac:dyDescent="0.3">
      <c r="B80" s="8"/>
      <c r="C80" s="382"/>
      <c r="D80" s="903" t="s">
        <v>494</v>
      </c>
      <c r="E80" s="877" t="s">
        <v>181</v>
      </c>
      <c r="F80" s="904" t="s">
        <v>137</v>
      </c>
      <c r="G80" s="905" t="s">
        <v>273</v>
      </c>
      <c r="H80" s="904" t="s">
        <v>206</v>
      </c>
      <c r="I80" s="904" t="s">
        <v>225</v>
      </c>
      <c r="J80" s="906" t="s">
        <v>187</v>
      </c>
      <c r="K80" s="881"/>
      <c r="L80" s="907" t="s">
        <v>479</v>
      </c>
      <c r="M80" s="907" t="s">
        <v>480</v>
      </c>
      <c r="N80" s="907" t="s">
        <v>478</v>
      </c>
      <c r="O80" s="907" t="s">
        <v>479</v>
      </c>
      <c r="P80" s="1138" t="s">
        <v>504</v>
      </c>
      <c r="Q80" s="881"/>
      <c r="R80" s="1037" t="s">
        <v>192</v>
      </c>
      <c r="S80" s="909" t="s">
        <v>505</v>
      </c>
      <c r="T80" s="910" t="s">
        <v>192</v>
      </c>
      <c r="U80" s="1139"/>
      <c r="V80" s="1101"/>
      <c r="W80" s="1101"/>
      <c r="X80" s="386"/>
      <c r="Y80" s="915" t="s">
        <v>303</v>
      </c>
      <c r="Z80" s="1127" t="s">
        <v>497</v>
      </c>
      <c r="AA80" s="1101" t="s">
        <v>498</v>
      </c>
      <c r="AB80" s="1101" t="s">
        <v>498</v>
      </c>
      <c r="AC80" s="1101" t="s">
        <v>495</v>
      </c>
      <c r="AD80" s="1048" t="s">
        <v>488</v>
      </c>
      <c r="AE80" s="1048" t="s">
        <v>489</v>
      </c>
      <c r="AF80" s="916" t="s">
        <v>490</v>
      </c>
      <c r="AG80" s="1092" t="s">
        <v>297</v>
      </c>
      <c r="AH80" s="1091" t="s">
        <v>427</v>
      </c>
      <c r="AI80" s="1066"/>
      <c r="AJ80" s="1066"/>
      <c r="AM80" s="384"/>
      <c r="AN80" s="386"/>
    </row>
    <row r="81" spans="2:40" s="294" customFormat="1" ht="12.75" customHeight="1" x14ac:dyDescent="0.3">
      <c r="B81" s="8"/>
      <c r="C81" s="382"/>
      <c r="D81" s="911"/>
      <c r="E81" s="877"/>
      <c r="F81" s="904" t="s">
        <v>138</v>
      </c>
      <c r="G81" s="905" t="s">
        <v>274</v>
      </c>
      <c r="H81" s="904"/>
      <c r="I81" s="904"/>
      <c r="J81" s="906" t="s">
        <v>276</v>
      </c>
      <c r="K81" s="881"/>
      <c r="L81" s="907" t="s">
        <v>482</v>
      </c>
      <c r="M81" s="907" t="s">
        <v>483</v>
      </c>
      <c r="N81" s="907" t="s">
        <v>481</v>
      </c>
      <c r="O81" s="907" t="s">
        <v>493</v>
      </c>
      <c r="P81" s="1138" t="s">
        <v>269</v>
      </c>
      <c r="Q81" s="881"/>
      <c r="R81" s="908" t="s">
        <v>506</v>
      </c>
      <c r="S81" s="909" t="s">
        <v>484</v>
      </c>
      <c r="T81" s="910" t="s">
        <v>269</v>
      </c>
      <c r="U81" s="887"/>
      <c r="V81" s="1063"/>
      <c r="W81" s="1063"/>
      <c r="X81" s="129"/>
      <c r="Y81" s="915" t="s">
        <v>197</v>
      </c>
      <c r="Z81" s="1129">
        <f>tab!B$50</f>
        <v>0.6</v>
      </c>
      <c r="AA81" s="1101" t="s">
        <v>499</v>
      </c>
      <c r="AB81" s="1101" t="s">
        <v>500</v>
      </c>
      <c r="AC81" s="1101" t="s">
        <v>501</v>
      </c>
      <c r="AD81" s="1048" t="s">
        <v>491</v>
      </c>
      <c r="AE81" s="1048" t="s">
        <v>491</v>
      </c>
      <c r="AF81" s="916" t="s">
        <v>492</v>
      </c>
      <c r="AG81" s="1092"/>
      <c r="AH81" s="1093" t="s">
        <v>224</v>
      </c>
      <c r="AI81" s="1063"/>
      <c r="AJ81" s="1063"/>
      <c r="AN81" s="295"/>
    </row>
    <row r="82" spans="2:40" ht="12.75" customHeight="1" x14ac:dyDescent="0.3">
      <c r="C82" s="114"/>
      <c r="D82" s="367"/>
      <c r="E82" s="367"/>
      <c r="F82" s="367"/>
      <c r="G82" s="367"/>
      <c r="H82" s="367"/>
      <c r="I82" s="367"/>
      <c r="J82" s="367"/>
      <c r="K82" s="365"/>
      <c r="L82" s="367"/>
      <c r="M82" s="367"/>
      <c r="N82" s="367"/>
      <c r="O82" s="367"/>
      <c r="P82" s="367"/>
      <c r="Q82" s="365"/>
      <c r="R82" s="773"/>
      <c r="S82" s="368"/>
      <c r="T82" s="779"/>
      <c r="U82" s="113"/>
      <c r="V82" s="1063"/>
      <c r="W82" s="1063"/>
      <c r="Y82" s="915"/>
      <c r="Z82" s="1064"/>
      <c r="AA82" s="1094"/>
      <c r="AB82" s="1094"/>
      <c r="AC82" s="1094"/>
      <c r="AE82" s="1063"/>
      <c r="AF82" s="1063"/>
      <c r="AG82" s="1092"/>
      <c r="AH82" s="1093"/>
      <c r="AK82" s="8"/>
      <c r="AL82" s="8"/>
      <c r="AN82" s="291"/>
    </row>
    <row r="83" spans="2:40" ht="12.75" customHeight="1" x14ac:dyDescent="0.3">
      <c r="C83" s="114"/>
      <c r="D83" s="353" t="str">
        <f>IF(dir!D61=0,"",dir!D61)</f>
        <v/>
      </c>
      <c r="E83" s="388" t="str">
        <f>IF(dir!E61=0,"",dir!E61)</f>
        <v>nn</v>
      </c>
      <c r="F83" s="105" t="str">
        <f>IF(dir!F61="","",dir!F61+1)</f>
        <v/>
      </c>
      <c r="G83" s="354" t="str">
        <f>IF(dir!G61="","",dir!G61)</f>
        <v/>
      </c>
      <c r="H83" s="389" t="str">
        <f t="shared" ref="H83:H92" si="56">IF(H61=0,"",H61)</f>
        <v>D11</v>
      </c>
      <c r="I83" s="355">
        <f>IF(J83="","",(IF(dir!I61+1&gt;LOOKUP(H83,schaal2019,regels2019),dir!I61,dir!I61+1)))</f>
        <v>6</v>
      </c>
      <c r="J83" s="356">
        <f>IF(dir!J61="","",dir!J61)</f>
        <v>1</v>
      </c>
      <c r="K83" s="370"/>
      <c r="L83" s="1061">
        <f>IF(dir!L61="","",dir!L61)</f>
        <v>130</v>
      </c>
      <c r="M83" s="1061">
        <f>IF(dir!M61="","",dir!M61)</f>
        <v>170</v>
      </c>
      <c r="N83" s="1051">
        <f t="shared" ref="N83:N92" si="57">IF(J83="","",IF((J83*40)&gt;40,40,((J83*40))))</f>
        <v>40</v>
      </c>
      <c r="O83" s="1051"/>
      <c r="P83" s="1125">
        <f t="shared" ref="P83:P92" si="58">IF(J83="","",(SUM(L83:O83)))</f>
        <v>340</v>
      </c>
      <c r="Q83" s="472"/>
      <c r="R83" s="923">
        <f>IF(J83="","",(((1659*J83)-P83)*AB83))</f>
        <v>61106.193128390601</v>
      </c>
      <c r="S83" s="923">
        <f t="shared" ref="S83:S92" si="59">IF(J83="","",(P83*AC83)+(AA83*AD83)+((AE83*AA83*(1-AF83))))</f>
        <v>11408.188065099457</v>
      </c>
      <c r="T83" s="925">
        <f t="shared" ref="T83:T92" si="60">IF(J83="","",(R83+S83))</f>
        <v>72514.381193490059</v>
      </c>
      <c r="U83" s="236"/>
      <c r="V83" s="1103"/>
      <c r="W83" s="1103"/>
      <c r="X83" s="709"/>
      <c r="Y83" s="1095">
        <f t="shared" ref="Y83:Y92" si="61">IF(H83="","",VLOOKUP(H83,salaris2021,I83+1,FALSE))</f>
        <v>4003</v>
      </c>
      <c r="Z83" s="1094">
        <f>tab!B$50</f>
        <v>0.6</v>
      </c>
      <c r="AA83" s="1126">
        <f t="shared" ref="AA83:AA93" si="62">(Y83*12/1659)</f>
        <v>28.954792043399639</v>
      </c>
      <c r="AB83" s="1126">
        <f t="shared" ref="AB83:AB92" si="63">(Y83*12*(1+Z83))/1659</f>
        <v>46.327667269439424</v>
      </c>
      <c r="AC83" s="1126">
        <f t="shared" ref="AC83:AC92" si="64">AB83-AA83</f>
        <v>17.372875226039785</v>
      </c>
      <c r="AD83" s="1128">
        <f t="shared" ref="AD83:AD92" si="65">(N83+O83)</f>
        <v>40</v>
      </c>
      <c r="AE83" s="1128">
        <f t="shared" ref="AE83:AE92" si="66">(L83+M83)</f>
        <v>300</v>
      </c>
      <c r="AF83" s="1096">
        <f>IF(H83&gt;8,tab!$B$51,tab!$B$54)</f>
        <v>0.5</v>
      </c>
      <c r="AG83" s="1097">
        <f t="shared" ref="AG83:AG92" si="67">IF(F83&lt;25,0,IF(F83=25,25,IF(F83&lt;40,0,IF(F83=40,40,IF(F83&gt;=40,0)))))</f>
        <v>0</v>
      </c>
      <c r="AH83" s="1093">
        <f t="shared" ref="AH83:AH92" si="68">IF(AG83=25,(Y83*1.08*(J83)/2),IF(AG83=40,(Y83*1.08*(J83)),IF(AG83=0,0)))</f>
        <v>0</v>
      </c>
      <c r="AI83" s="1102"/>
    </row>
    <row r="84" spans="2:40" ht="12.75" customHeight="1" x14ac:dyDescent="0.3">
      <c r="C84" s="114"/>
      <c r="D84" s="353" t="str">
        <f>IF(dir!D62=0,"",dir!D62)</f>
        <v/>
      </c>
      <c r="E84" s="388" t="str">
        <f>IF(dir!E62=0,"",dir!E62)</f>
        <v/>
      </c>
      <c r="F84" s="105" t="str">
        <f>IF(dir!F62="","",dir!F62+1)</f>
        <v/>
      </c>
      <c r="G84" s="354" t="str">
        <f>IF(dir!G62="","",dir!G62)</f>
        <v/>
      </c>
      <c r="H84" s="389" t="str">
        <f t="shared" si="56"/>
        <v/>
      </c>
      <c r="I84" s="355" t="str">
        <f>IF(J84="","",(IF(dir!I62+1&gt;LOOKUP(H84,schaal2019,regels2019),dir!I62,dir!I62+1)))</f>
        <v/>
      </c>
      <c r="J84" s="356" t="str">
        <f>IF(dir!J62="","",dir!J62)</f>
        <v/>
      </c>
      <c r="K84" s="370"/>
      <c r="L84" s="1061">
        <f>IF(dir!L62="","",dir!L62)</f>
        <v>0</v>
      </c>
      <c r="M84" s="1061">
        <f>IF(dir!M62="","",dir!M62)</f>
        <v>0</v>
      </c>
      <c r="N84" s="1051" t="str">
        <f t="shared" si="57"/>
        <v/>
      </c>
      <c r="O84" s="1051"/>
      <c r="P84" s="1125" t="str">
        <f t="shared" si="58"/>
        <v/>
      </c>
      <c r="Q84" s="472"/>
      <c r="R84" s="923" t="str">
        <f t="shared" ref="R84:R92" si="69">IF(J84="","",(((1659*J84)-P84)*AB84))</f>
        <v/>
      </c>
      <c r="S84" s="923" t="str">
        <f t="shared" si="59"/>
        <v/>
      </c>
      <c r="T84" s="925" t="str">
        <f t="shared" si="60"/>
        <v/>
      </c>
      <c r="U84" s="236"/>
      <c r="V84" s="1103"/>
      <c r="W84" s="1103"/>
      <c r="X84" s="709"/>
      <c r="Y84" s="1095" t="str">
        <f t="shared" si="61"/>
        <v/>
      </c>
      <c r="Z84" s="1094">
        <f>tab!B$50</f>
        <v>0.6</v>
      </c>
      <c r="AA84" s="1126" t="e">
        <f t="shared" si="62"/>
        <v>#VALUE!</v>
      </c>
      <c r="AB84" s="1126" t="e">
        <f t="shared" si="63"/>
        <v>#VALUE!</v>
      </c>
      <c r="AC84" s="1126" t="e">
        <f t="shared" si="64"/>
        <v>#VALUE!</v>
      </c>
      <c r="AD84" s="1128" t="e">
        <f t="shared" si="65"/>
        <v>#VALUE!</v>
      </c>
      <c r="AE84" s="1128">
        <f t="shared" si="66"/>
        <v>0</v>
      </c>
      <c r="AF84" s="1096">
        <f>IF(H84&gt;8,tab!$B$51,tab!$B$54)</f>
        <v>0.5</v>
      </c>
      <c r="AG84" s="1097">
        <f t="shared" si="67"/>
        <v>0</v>
      </c>
      <c r="AH84" s="1093">
        <f t="shared" si="68"/>
        <v>0</v>
      </c>
      <c r="AI84" s="1102"/>
    </row>
    <row r="85" spans="2:40" ht="12.75" customHeight="1" x14ac:dyDescent="0.3">
      <c r="C85" s="114"/>
      <c r="D85" s="353" t="str">
        <f>IF(dir!D63=0,"",dir!D63)</f>
        <v/>
      </c>
      <c r="E85" s="388" t="str">
        <f>IF(dir!E63=0,"",dir!E63)</f>
        <v/>
      </c>
      <c r="F85" s="105" t="str">
        <f>IF(dir!F63="","",dir!F63+1)</f>
        <v/>
      </c>
      <c r="G85" s="354" t="str">
        <f>IF(dir!G63="","",dir!G63)</f>
        <v/>
      </c>
      <c r="H85" s="389" t="str">
        <f t="shared" si="56"/>
        <v/>
      </c>
      <c r="I85" s="355" t="str">
        <f>IF(J85="","",(IF(dir!I63+1&gt;LOOKUP(H85,schaal2019,regels2019),dir!I63,dir!I63+1)))</f>
        <v/>
      </c>
      <c r="J85" s="356" t="str">
        <f>IF(dir!J63="","",dir!J63)</f>
        <v/>
      </c>
      <c r="K85" s="370"/>
      <c r="L85" s="1061">
        <f>IF(dir!L63="","",dir!L63)</f>
        <v>0</v>
      </c>
      <c r="M85" s="1061">
        <f>IF(dir!M63="","",dir!M63)</f>
        <v>0</v>
      </c>
      <c r="N85" s="1051" t="str">
        <f t="shared" si="57"/>
        <v/>
      </c>
      <c r="O85" s="1051"/>
      <c r="P85" s="1125" t="str">
        <f t="shared" si="58"/>
        <v/>
      </c>
      <c r="Q85" s="472"/>
      <c r="R85" s="923" t="str">
        <f t="shared" si="69"/>
        <v/>
      </c>
      <c r="S85" s="923" t="str">
        <f t="shared" si="59"/>
        <v/>
      </c>
      <c r="T85" s="925" t="str">
        <f t="shared" si="60"/>
        <v/>
      </c>
      <c r="U85" s="236"/>
      <c r="V85" s="1103"/>
      <c r="W85" s="1103"/>
      <c r="X85" s="709"/>
      <c r="Y85" s="1095" t="str">
        <f t="shared" si="61"/>
        <v/>
      </c>
      <c r="Z85" s="1094">
        <f>tab!B$50</f>
        <v>0.6</v>
      </c>
      <c r="AA85" s="1126" t="e">
        <f t="shared" si="62"/>
        <v>#VALUE!</v>
      </c>
      <c r="AB85" s="1126" t="e">
        <f t="shared" si="63"/>
        <v>#VALUE!</v>
      </c>
      <c r="AC85" s="1126" t="e">
        <f t="shared" si="64"/>
        <v>#VALUE!</v>
      </c>
      <c r="AD85" s="1128" t="e">
        <f t="shared" si="65"/>
        <v>#VALUE!</v>
      </c>
      <c r="AE85" s="1128">
        <f t="shared" si="66"/>
        <v>0</v>
      </c>
      <c r="AF85" s="1096">
        <f>IF(H85&gt;8,tab!$B$51,tab!$B$54)</f>
        <v>0.5</v>
      </c>
      <c r="AG85" s="1097">
        <f t="shared" si="67"/>
        <v>0</v>
      </c>
      <c r="AH85" s="1093">
        <f t="shared" si="68"/>
        <v>0</v>
      </c>
      <c r="AI85" s="1102"/>
    </row>
    <row r="86" spans="2:40" ht="12.75" customHeight="1" x14ac:dyDescent="0.3">
      <c r="C86" s="114"/>
      <c r="D86" s="353" t="str">
        <f>IF(dir!D64=0,"",dir!D64)</f>
        <v/>
      </c>
      <c r="E86" s="388" t="str">
        <f>IF(dir!E64=0,"",dir!E64)</f>
        <v/>
      </c>
      <c r="F86" s="105" t="str">
        <f>IF(dir!F64="","",dir!F64+1)</f>
        <v/>
      </c>
      <c r="G86" s="354" t="str">
        <f>IF(dir!G64="","",dir!G64)</f>
        <v/>
      </c>
      <c r="H86" s="389" t="str">
        <f t="shared" si="56"/>
        <v/>
      </c>
      <c r="I86" s="355" t="str">
        <f>IF(J86="","",(IF(dir!I64+1&gt;LOOKUP(H86,schaal2019,regels2019),dir!I64,dir!I64+1)))</f>
        <v/>
      </c>
      <c r="J86" s="356" t="str">
        <f>IF(dir!J64="","",dir!J64)</f>
        <v/>
      </c>
      <c r="K86" s="370"/>
      <c r="L86" s="1061">
        <f>IF(dir!L64="","",dir!L64)</f>
        <v>0</v>
      </c>
      <c r="M86" s="1061">
        <f>IF(dir!M64="","",dir!M64)</f>
        <v>0</v>
      </c>
      <c r="N86" s="1051" t="str">
        <f t="shared" si="57"/>
        <v/>
      </c>
      <c r="O86" s="1051"/>
      <c r="P86" s="1125" t="str">
        <f t="shared" si="58"/>
        <v/>
      </c>
      <c r="Q86" s="472"/>
      <c r="R86" s="923" t="str">
        <f t="shared" si="69"/>
        <v/>
      </c>
      <c r="S86" s="923" t="str">
        <f t="shared" si="59"/>
        <v/>
      </c>
      <c r="T86" s="925" t="str">
        <f t="shared" si="60"/>
        <v/>
      </c>
      <c r="U86" s="236"/>
      <c r="V86" s="1103"/>
      <c r="W86" s="1103"/>
      <c r="X86" s="709"/>
      <c r="Y86" s="1095" t="str">
        <f t="shared" si="61"/>
        <v/>
      </c>
      <c r="Z86" s="1094">
        <f>tab!B$50</f>
        <v>0.6</v>
      </c>
      <c r="AA86" s="1126" t="e">
        <f t="shared" si="62"/>
        <v>#VALUE!</v>
      </c>
      <c r="AB86" s="1126" t="e">
        <f t="shared" si="63"/>
        <v>#VALUE!</v>
      </c>
      <c r="AC86" s="1126" t="e">
        <f t="shared" si="64"/>
        <v>#VALUE!</v>
      </c>
      <c r="AD86" s="1128" t="e">
        <f t="shared" si="65"/>
        <v>#VALUE!</v>
      </c>
      <c r="AE86" s="1128">
        <f t="shared" si="66"/>
        <v>0</v>
      </c>
      <c r="AF86" s="1096">
        <f>IF(H86&gt;8,tab!$B$51,tab!$B$54)</f>
        <v>0.5</v>
      </c>
      <c r="AG86" s="1097">
        <f t="shared" si="67"/>
        <v>0</v>
      </c>
      <c r="AH86" s="1093">
        <f t="shared" si="68"/>
        <v>0</v>
      </c>
      <c r="AI86" s="1102"/>
    </row>
    <row r="87" spans="2:40" ht="12.75" customHeight="1" x14ac:dyDescent="0.3">
      <c r="C87" s="114"/>
      <c r="D87" s="353" t="str">
        <f>IF(dir!D65=0,"",dir!D65)</f>
        <v/>
      </c>
      <c r="E87" s="388" t="str">
        <f>IF(dir!E65=0,"",dir!E65)</f>
        <v/>
      </c>
      <c r="F87" s="105" t="str">
        <f>IF(dir!F65="","",dir!F65+1)</f>
        <v/>
      </c>
      <c r="G87" s="354" t="str">
        <f>IF(dir!G65="","",dir!G65)</f>
        <v/>
      </c>
      <c r="H87" s="389" t="str">
        <f t="shared" si="56"/>
        <v/>
      </c>
      <c r="I87" s="355" t="str">
        <f>IF(J87="","",(IF(dir!I65+1&gt;LOOKUP(H87,schaal2019,regels2019),dir!I65,dir!I65+1)))</f>
        <v/>
      </c>
      <c r="J87" s="356" t="str">
        <f>IF(dir!J65="","",dir!J65)</f>
        <v/>
      </c>
      <c r="K87" s="370"/>
      <c r="L87" s="1061">
        <f>IF(dir!L65="","",dir!L65)</f>
        <v>0</v>
      </c>
      <c r="M87" s="1061">
        <f>IF(dir!M65="","",dir!M65)</f>
        <v>0</v>
      </c>
      <c r="N87" s="1051" t="str">
        <f t="shared" si="57"/>
        <v/>
      </c>
      <c r="O87" s="1051"/>
      <c r="P87" s="1125" t="str">
        <f t="shared" si="58"/>
        <v/>
      </c>
      <c r="Q87" s="472"/>
      <c r="R87" s="923" t="str">
        <f t="shared" si="69"/>
        <v/>
      </c>
      <c r="S87" s="923" t="str">
        <f t="shared" si="59"/>
        <v/>
      </c>
      <c r="T87" s="925" t="str">
        <f t="shared" si="60"/>
        <v/>
      </c>
      <c r="U87" s="236"/>
      <c r="V87" s="1103"/>
      <c r="W87" s="1103"/>
      <c r="X87" s="709"/>
      <c r="Y87" s="1095" t="str">
        <f t="shared" si="61"/>
        <v/>
      </c>
      <c r="Z87" s="1094">
        <f>tab!B$50</f>
        <v>0.6</v>
      </c>
      <c r="AA87" s="1126" t="e">
        <f t="shared" si="62"/>
        <v>#VALUE!</v>
      </c>
      <c r="AB87" s="1126" t="e">
        <f t="shared" si="63"/>
        <v>#VALUE!</v>
      </c>
      <c r="AC87" s="1126" t="e">
        <f t="shared" si="64"/>
        <v>#VALUE!</v>
      </c>
      <c r="AD87" s="1128" t="e">
        <f t="shared" si="65"/>
        <v>#VALUE!</v>
      </c>
      <c r="AE87" s="1128">
        <f t="shared" si="66"/>
        <v>0</v>
      </c>
      <c r="AF87" s="1096">
        <f>IF(H87&gt;8,tab!$B$51,tab!$B$54)</f>
        <v>0.5</v>
      </c>
      <c r="AG87" s="1097">
        <f t="shared" si="67"/>
        <v>0</v>
      </c>
      <c r="AH87" s="1093">
        <f t="shared" si="68"/>
        <v>0</v>
      </c>
      <c r="AI87" s="1102"/>
    </row>
    <row r="88" spans="2:40" ht="12.75" customHeight="1" x14ac:dyDescent="0.3">
      <c r="C88" s="114"/>
      <c r="D88" s="353" t="str">
        <f>IF(dir!D66=0,"",dir!D66)</f>
        <v/>
      </c>
      <c r="E88" s="388" t="str">
        <f>IF(dir!E66=0,"",dir!E66)</f>
        <v/>
      </c>
      <c r="F88" s="105" t="str">
        <f>IF(dir!F66="","",dir!F66+1)</f>
        <v/>
      </c>
      <c r="G88" s="354" t="str">
        <f>IF(dir!G66="","",dir!G66)</f>
        <v/>
      </c>
      <c r="H88" s="389" t="str">
        <f t="shared" si="56"/>
        <v/>
      </c>
      <c r="I88" s="355" t="str">
        <f>IF(J88="","",(IF(dir!I66+1&gt;LOOKUP(H88,schaal2019,regels2019),dir!I66,dir!I66+1)))</f>
        <v/>
      </c>
      <c r="J88" s="356" t="str">
        <f>IF(dir!J66="","",dir!J66)</f>
        <v/>
      </c>
      <c r="K88" s="370"/>
      <c r="L88" s="1061">
        <f>IF(dir!L66="","",dir!L66)</f>
        <v>0</v>
      </c>
      <c r="M88" s="1061">
        <f>IF(dir!M66="","",dir!M66)</f>
        <v>0</v>
      </c>
      <c r="N88" s="1051" t="str">
        <f t="shared" si="57"/>
        <v/>
      </c>
      <c r="O88" s="1051"/>
      <c r="P88" s="1125" t="str">
        <f t="shared" si="58"/>
        <v/>
      </c>
      <c r="Q88" s="472"/>
      <c r="R88" s="923" t="str">
        <f t="shared" si="69"/>
        <v/>
      </c>
      <c r="S88" s="923" t="str">
        <f t="shared" si="59"/>
        <v/>
      </c>
      <c r="T88" s="925" t="str">
        <f t="shared" si="60"/>
        <v/>
      </c>
      <c r="U88" s="236"/>
      <c r="V88" s="1103"/>
      <c r="W88" s="1103"/>
      <c r="X88" s="709"/>
      <c r="Y88" s="1095" t="str">
        <f t="shared" si="61"/>
        <v/>
      </c>
      <c r="Z88" s="1094">
        <f>tab!B$50</f>
        <v>0.6</v>
      </c>
      <c r="AA88" s="1126" t="e">
        <f t="shared" si="62"/>
        <v>#VALUE!</v>
      </c>
      <c r="AB88" s="1126" t="e">
        <f t="shared" si="63"/>
        <v>#VALUE!</v>
      </c>
      <c r="AC88" s="1126" t="e">
        <f t="shared" si="64"/>
        <v>#VALUE!</v>
      </c>
      <c r="AD88" s="1128" t="e">
        <f t="shared" si="65"/>
        <v>#VALUE!</v>
      </c>
      <c r="AE88" s="1128">
        <f t="shared" si="66"/>
        <v>0</v>
      </c>
      <c r="AF88" s="1096">
        <f>IF(H88&gt;8,tab!$B$51,tab!$B$54)</f>
        <v>0.5</v>
      </c>
      <c r="AG88" s="1097">
        <f t="shared" si="67"/>
        <v>0</v>
      </c>
      <c r="AH88" s="1093">
        <f t="shared" si="68"/>
        <v>0</v>
      </c>
      <c r="AI88" s="1102"/>
    </row>
    <row r="89" spans="2:40" ht="12.75" customHeight="1" x14ac:dyDescent="0.3">
      <c r="C89" s="114"/>
      <c r="D89" s="353" t="str">
        <f>IF(dir!D67=0,"",dir!D67)</f>
        <v/>
      </c>
      <c r="E89" s="388" t="str">
        <f>IF(dir!E67=0,"",dir!E67)</f>
        <v/>
      </c>
      <c r="F89" s="105" t="str">
        <f>IF(dir!F67="","",dir!F67+1)</f>
        <v/>
      </c>
      <c r="G89" s="354" t="str">
        <f>IF(dir!G67="","",dir!G67)</f>
        <v/>
      </c>
      <c r="H89" s="389" t="str">
        <f t="shared" si="56"/>
        <v/>
      </c>
      <c r="I89" s="355" t="str">
        <f>IF(J89="","",(IF(dir!I67+1&gt;LOOKUP(H89,schaal2019,regels2019),dir!I67,dir!I67+1)))</f>
        <v/>
      </c>
      <c r="J89" s="356" t="str">
        <f>IF(dir!J67="","",dir!J67)</f>
        <v/>
      </c>
      <c r="K89" s="370"/>
      <c r="L89" s="1061">
        <f>IF(dir!L67="","",dir!L67)</f>
        <v>0</v>
      </c>
      <c r="M89" s="1061">
        <f>IF(dir!M67="","",dir!M67)</f>
        <v>0</v>
      </c>
      <c r="N89" s="1051" t="str">
        <f t="shared" si="57"/>
        <v/>
      </c>
      <c r="O89" s="1051"/>
      <c r="P89" s="1125" t="str">
        <f t="shared" si="58"/>
        <v/>
      </c>
      <c r="Q89" s="472"/>
      <c r="R89" s="923" t="str">
        <f t="shared" si="69"/>
        <v/>
      </c>
      <c r="S89" s="923" t="str">
        <f t="shared" si="59"/>
        <v/>
      </c>
      <c r="T89" s="925" t="str">
        <f t="shared" si="60"/>
        <v/>
      </c>
      <c r="U89" s="236"/>
      <c r="V89" s="1103"/>
      <c r="W89" s="1103"/>
      <c r="X89" s="709"/>
      <c r="Y89" s="1095" t="str">
        <f t="shared" si="61"/>
        <v/>
      </c>
      <c r="Z89" s="1094">
        <f>tab!B$50</f>
        <v>0.6</v>
      </c>
      <c r="AA89" s="1126" t="e">
        <f t="shared" si="62"/>
        <v>#VALUE!</v>
      </c>
      <c r="AB89" s="1126" t="e">
        <f t="shared" si="63"/>
        <v>#VALUE!</v>
      </c>
      <c r="AC89" s="1126" t="e">
        <f t="shared" si="64"/>
        <v>#VALUE!</v>
      </c>
      <c r="AD89" s="1128" t="e">
        <f t="shared" si="65"/>
        <v>#VALUE!</v>
      </c>
      <c r="AE89" s="1128">
        <f t="shared" si="66"/>
        <v>0</v>
      </c>
      <c r="AF89" s="1096">
        <f>IF(H89&gt;8,tab!$B$51,tab!$B$54)</f>
        <v>0.5</v>
      </c>
      <c r="AG89" s="1097">
        <f t="shared" si="67"/>
        <v>0</v>
      </c>
      <c r="AH89" s="1093">
        <f t="shared" si="68"/>
        <v>0</v>
      </c>
      <c r="AI89" s="1102"/>
    </row>
    <row r="90" spans="2:40" ht="12.75" customHeight="1" x14ac:dyDescent="0.3">
      <c r="C90" s="114"/>
      <c r="D90" s="353" t="str">
        <f>IF(dir!D68=0,"",dir!D68)</f>
        <v/>
      </c>
      <c r="E90" s="388" t="str">
        <f>IF(dir!E68=0,"",dir!E68)</f>
        <v/>
      </c>
      <c r="F90" s="105" t="str">
        <f>IF(dir!F68="","",dir!F68+1)</f>
        <v/>
      </c>
      <c r="G90" s="354" t="str">
        <f>IF(dir!G68="","",dir!G68)</f>
        <v/>
      </c>
      <c r="H90" s="389" t="str">
        <f t="shared" si="56"/>
        <v/>
      </c>
      <c r="I90" s="355" t="str">
        <f>IF(J90="","",(IF(dir!I68+1&gt;LOOKUP(H90,schaal2019,regels2019),dir!I68,dir!I68+1)))</f>
        <v/>
      </c>
      <c r="J90" s="356" t="str">
        <f>IF(dir!J68="","",dir!J68)</f>
        <v/>
      </c>
      <c r="K90" s="370"/>
      <c r="L90" s="1061">
        <f>IF(dir!L68="","",dir!L68)</f>
        <v>0</v>
      </c>
      <c r="M90" s="1061">
        <f>IF(dir!M68="","",dir!M68)</f>
        <v>0</v>
      </c>
      <c r="N90" s="1051" t="str">
        <f t="shared" si="57"/>
        <v/>
      </c>
      <c r="O90" s="1051"/>
      <c r="P90" s="1125" t="str">
        <f t="shared" si="58"/>
        <v/>
      </c>
      <c r="Q90" s="472"/>
      <c r="R90" s="923" t="str">
        <f t="shared" si="69"/>
        <v/>
      </c>
      <c r="S90" s="923" t="str">
        <f t="shared" si="59"/>
        <v/>
      </c>
      <c r="T90" s="925" t="str">
        <f t="shared" si="60"/>
        <v/>
      </c>
      <c r="U90" s="236"/>
      <c r="V90" s="1103"/>
      <c r="W90" s="1103"/>
      <c r="X90" s="709"/>
      <c r="Y90" s="1095" t="str">
        <f t="shared" si="61"/>
        <v/>
      </c>
      <c r="Z90" s="1094">
        <f>tab!B$50</f>
        <v>0.6</v>
      </c>
      <c r="AA90" s="1126" t="e">
        <f t="shared" si="62"/>
        <v>#VALUE!</v>
      </c>
      <c r="AB90" s="1126" t="e">
        <f t="shared" si="63"/>
        <v>#VALUE!</v>
      </c>
      <c r="AC90" s="1126" t="e">
        <f t="shared" si="64"/>
        <v>#VALUE!</v>
      </c>
      <c r="AD90" s="1128" t="e">
        <f t="shared" si="65"/>
        <v>#VALUE!</v>
      </c>
      <c r="AE90" s="1128">
        <f t="shared" si="66"/>
        <v>0</v>
      </c>
      <c r="AF90" s="1096">
        <f>IF(H90&gt;8,tab!$B$51,tab!$B$54)</f>
        <v>0.5</v>
      </c>
      <c r="AG90" s="1097">
        <f t="shared" si="67"/>
        <v>0</v>
      </c>
      <c r="AH90" s="1093">
        <f t="shared" si="68"/>
        <v>0</v>
      </c>
      <c r="AI90" s="1102"/>
    </row>
    <row r="91" spans="2:40" ht="12.75" customHeight="1" x14ac:dyDescent="0.3">
      <c r="C91" s="114"/>
      <c r="D91" s="353" t="str">
        <f>IF(dir!D69=0,"",dir!D69)</f>
        <v/>
      </c>
      <c r="E91" s="388" t="str">
        <f>IF(dir!E69=0,"",dir!E69)</f>
        <v/>
      </c>
      <c r="F91" s="105" t="str">
        <f>IF(dir!F69="","",dir!F69+1)</f>
        <v/>
      </c>
      <c r="G91" s="354" t="str">
        <f>IF(dir!G69="","",dir!G69)</f>
        <v/>
      </c>
      <c r="H91" s="389" t="str">
        <f t="shared" si="56"/>
        <v/>
      </c>
      <c r="I91" s="355" t="str">
        <f>IF(J91="","",(IF(dir!I69+1&gt;LOOKUP(H91,schaal2019,regels2019),dir!I69,dir!I69+1)))</f>
        <v/>
      </c>
      <c r="J91" s="356" t="str">
        <f>IF(dir!J69="","",dir!J69)</f>
        <v/>
      </c>
      <c r="K91" s="370"/>
      <c r="L91" s="1061">
        <f>IF(dir!L69="","",dir!L69)</f>
        <v>0</v>
      </c>
      <c r="M91" s="1061">
        <f>IF(dir!M69="","",dir!M69)</f>
        <v>0</v>
      </c>
      <c r="N91" s="1051" t="str">
        <f t="shared" si="57"/>
        <v/>
      </c>
      <c r="O91" s="1051"/>
      <c r="P91" s="1125" t="str">
        <f t="shared" si="58"/>
        <v/>
      </c>
      <c r="Q91" s="472"/>
      <c r="R91" s="923" t="str">
        <f t="shared" si="69"/>
        <v/>
      </c>
      <c r="S91" s="923" t="str">
        <f t="shared" si="59"/>
        <v/>
      </c>
      <c r="T91" s="925" t="str">
        <f t="shared" si="60"/>
        <v/>
      </c>
      <c r="U91" s="236"/>
      <c r="V91" s="1103"/>
      <c r="W91" s="1103"/>
      <c r="X91" s="709"/>
      <c r="Y91" s="1095" t="str">
        <f t="shared" si="61"/>
        <v/>
      </c>
      <c r="Z91" s="1094">
        <f>tab!B$50</f>
        <v>0.6</v>
      </c>
      <c r="AA91" s="1126" t="e">
        <f t="shared" si="62"/>
        <v>#VALUE!</v>
      </c>
      <c r="AB91" s="1126" t="e">
        <f t="shared" si="63"/>
        <v>#VALUE!</v>
      </c>
      <c r="AC91" s="1126" t="e">
        <f t="shared" si="64"/>
        <v>#VALUE!</v>
      </c>
      <c r="AD91" s="1128" t="e">
        <f t="shared" si="65"/>
        <v>#VALUE!</v>
      </c>
      <c r="AE91" s="1128">
        <f t="shared" si="66"/>
        <v>0</v>
      </c>
      <c r="AF91" s="1096">
        <f>IF(H91&gt;8,tab!$B$51,tab!$B$54)</f>
        <v>0.5</v>
      </c>
      <c r="AG91" s="1097">
        <f t="shared" si="67"/>
        <v>0</v>
      </c>
      <c r="AH91" s="1093">
        <f t="shared" si="68"/>
        <v>0</v>
      </c>
      <c r="AI91" s="1102"/>
    </row>
    <row r="92" spans="2:40" ht="12.75" customHeight="1" x14ac:dyDescent="0.3">
      <c r="C92" s="114"/>
      <c r="D92" s="353" t="str">
        <f>IF(dir!D70=0,"",dir!D70)</f>
        <v/>
      </c>
      <c r="E92" s="388" t="str">
        <f>IF(dir!E70=0,"",dir!E70)</f>
        <v/>
      </c>
      <c r="F92" s="105" t="str">
        <f>IF(dir!F70="","",dir!F70+1)</f>
        <v/>
      </c>
      <c r="G92" s="354" t="str">
        <f>IF(dir!G70="","",dir!G70)</f>
        <v/>
      </c>
      <c r="H92" s="389" t="str">
        <f t="shared" si="56"/>
        <v/>
      </c>
      <c r="I92" s="355" t="str">
        <f>IF(J92="","",(IF(dir!I70+1&gt;LOOKUP(H92,schaal2019,regels2019),dir!I70,dir!I70+1)))</f>
        <v/>
      </c>
      <c r="J92" s="356" t="str">
        <f>IF(dir!J70="","",dir!J70)</f>
        <v/>
      </c>
      <c r="K92" s="370"/>
      <c r="L92" s="1061">
        <f>IF(dir!L70="","",dir!L70)</f>
        <v>0</v>
      </c>
      <c r="M92" s="1061">
        <f>IF(dir!M70="","",dir!M70)</f>
        <v>0</v>
      </c>
      <c r="N92" s="1051" t="str">
        <f t="shared" si="57"/>
        <v/>
      </c>
      <c r="O92" s="1051"/>
      <c r="P92" s="1125" t="str">
        <f t="shared" si="58"/>
        <v/>
      </c>
      <c r="Q92" s="472"/>
      <c r="R92" s="923" t="str">
        <f t="shared" si="69"/>
        <v/>
      </c>
      <c r="S92" s="923" t="str">
        <f t="shared" si="59"/>
        <v/>
      </c>
      <c r="T92" s="925" t="str">
        <f t="shared" si="60"/>
        <v/>
      </c>
      <c r="U92" s="236"/>
      <c r="V92" s="1103"/>
      <c r="W92" s="1103"/>
      <c r="X92" s="709"/>
      <c r="Y92" s="1095" t="str">
        <f t="shared" si="61"/>
        <v/>
      </c>
      <c r="Z92" s="1094">
        <f>tab!B$50</f>
        <v>0.6</v>
      </c>
      <c r="AA92" s="1126" t="e">
        <f t="shared" si="62"/>
        <v>#VALUE!</v>
      </c>
      <c r="AB92" s="1126" t="e">
        <f t="shared" si="63"/>
        <v>#VALUE!</v>
      </c>
      <c r="AC92" s="1126" t="e">
        <f t="shared" si="64"/>
        <v>#VALUE!</v>
      </c>
      <c r="AD92" s="1128" t="e">
        <f t="shared" si="65"/>
        <v>#VALUE!</v>
      </c>
      <c r="AE92" s="1128">
        <f t="shared" si="66"/>
        <v>0</v>
      </c>
      <c r="AF92" s="1096">
        <f>IF(H92&gt;8,tab!$B$51,tab!$B$54)</f>
        <v>0.5</v>
      </c>
      <c r="AG92" s="1097">
        <f t="shared" si="67"/>
        <v>0</v>
      </c>
      <c r="AH92" s="1093">
        <f t="shared" si="68"/>
        <v>0</v>
      </c>
      <c r="AI92" s="1102"/>
    </row>
    <row r="93" spans="2:40" ht="12.75" customHeight="1" x14ac:dyDescent="0.3">
      <c r="C93" s="114"/>
      <c r="D93" s="166"/>
      <c r="E93" s="212"/>
      <c r="F93" s="372"/>
      <c r="G93" s="373"/>
      <c r="H93" s="116"/>
      <c r="I93" s="116"/>
      <c r="J93" s="919">
        <f>SUM(J83:J92)</f>
        <v>1</v>
      </c>
      <c r="K93" s="372"/>
      <c r="L93" s="1039">
        <f t="shared" ref="L93:P93" si="70">SUM(L83:L92)</f>
        <v>130</v>
      </c>
      <c r="M93" s="1039">
        <f t="shared" si="70"/>
        <v>170</v>
      </c>
      <c r="N93" s="1039">
        <f>SUM(N83:N92)</f>
        <v>40</v>
      </c>
      <c r="O93" s="1039"/>
      <c r="P93" s="1039">
        <f t="shared" si="70"/>
        <v>340</v>
      </c>
      <c r="Q93" s="372"/>
      <c r="R93" s="920">
        <f t="shared" ref="R93:T93" si="71">SUM(R83:R92)</f>
        <v>61106.193128390601</v>
      </c>
      <c r="S93" s="921">
        <f t="shared" si="71"/>
        <v>11408.188065099457</v>
      </c>
      <c r="T93" s="920">
        <f t="shared" si="71"/>
        <v>72514.381193490059</v>
      </c>
      <c r="U93" s="371"/>
      <c r="V93" s="1063"/>
      <c r="W93" s="1063"/>
      <c r="Y93" s="1098">
        <f>SUM(Y83:Y92)</f>
        <v>4003</v>
      </c>
      <c r="Z93" s="1130"/>
      <c r="AA93" s="1098">
        <f t="shared" si="62"/>
        <v>28.954792043399639</v>
      </c>
      <c r="AB93" s="1098"/>
      <c r="AC93" s="1098"/>
      <c r="AG93" s="1099"/>
      <c r="AH93" s="1100"/>
      <c r="AI93" s="1102"/>
    </row>
    <row r="94" spans="2:40" ht="12.75" customHeight="1" x14ac:dyDescent="0.3">
      <c r="C94" s="169"/>
      <c r="D94" s="374"/>
      <c r="E94" s="250"/>
      <c r="F94" s="170"/>
      <c r="G94" s="375"/>
      <c r="H94" s="170"/>
      <c r="I94" s="376"/>
      <c r="J94" s="377"/>
      <c r="K94" s="250"/>
      <c r="L94" s="376"/>
      <c r="M94" s="376"/>
      <c r="N94" s="376"/>
      <c r="O94" s="376"/>
      <c r="P94" s="376"/>
      <c r="Q94" s="250"/>
      <c r="R94" s="394"/>
      <c r="S94" s="379"/>
      <c r="T94" s="780"/>
      <c r="U94" s="380"/>
      <c r="V94" s="1063"/>
      <c r="W94" s="1063"/>
      <c r="Y94" s="1079"/>
      <c r="Z94" s="1130"/>
      <c r="AA94" s="1098"/>
      <c r="AB94" s="1098"/>
      <c r="AC94" s="1098"/>
      <c r="AG94" s="1099"/>
      <c r="AH94" s="1100"/>
      <c r="AI94" s="1102"/>
    </row>
    <row r="95" spans="2:40" ht="12.75" customHeight="1" x14ac:dyDescent="0.3">
      <c r="H95" s="16"/>
      <c r="J95" s="292"/>
      <c r="R95" s="397"/>
      <c r="S95" s="154"/>
      <c r="T95" s="782"/>
      <c r="V95" s="1063"/>
      <c r="W95" s="1063"/>
      <c r="Y95" s="1095"/>
      <c r="Z95" s="1103"/>
      <c r="AA95" s="1103"/>
      <c r="AB95" s="1103"/>
      <c r="AC95" s="1103"/>
      <c r="AG95" s="1097"/>
      <c r="AH95" s="1093"/>
    </row>
    <row r="96" spans="2:40" ht="12.75" customHeight="1" x14ac:dyDescent="0.3">
      <c r="H96" s="16"/>
      <c r="J96" s="292"/>
      <c r="R96" s="397"/>
      <c r="S96" s="154"/>
      <c r="T96" s="782"/>
      <c r="V96" s="1063"/>
      <c r="W96" s="1063"/>
      <c r="Y96" s="1095"/>
      <c r="Z96" s="1103"/>
      <c r="AA96" s="1103"/>
      <c r="AB96" s="1103"/>
      <c r="AC96" s="1103"/>
      <c r="AG96" s="1097"/>
      <c r="AH96" s="1093"/>
    </row>
    <row r="97" spans="2:40" ht="12.75" customHeight="1" x14ac:dyDescent="0.3">
      <c r="C97" s="8" t="s">
        <v>180</v>
      </c>
      <c r="E97" s="238" t="str">
        <f>tab!E2</f>
        <v>2023/24</v>
      </c>
      <c r="H97" s="16"/>
      <c r="J97" s="292"/>
      <c r="R97" s="397"/>
      <c r="S97" s="154"/>
      <c r="T97" s="782"/>
      <c r="V97" s="1063"/>
      <c r="W97" s="1063"/>
      <c r="Y97" s="1095"/>
      <c r="Z97" s="1103"/>
      <c r="AA97" s="1103"/>
      <c r="AB97" s="1103"/>
      <c r="AC97" s="1103"/>
      <c r="AG97" s="1097"/>
      <c r="AH97" s="1093"/>
    </row>
    <row r="98" spans="2:40" ht="12.75" customHeight="1" x14ac:dyDescent="0.3">
      <c r="C98" s="15" t="s">
        <v>193</v>
      </c>
      <c r="E98" s="289">
        <f>tab!F3</f>
        <v>45200</v>
      </c>
      <c r="H98" s="16"/>
      <c r="J98" s="292"/>
      <c r="R98" s="397"/>
      <c r="S98" s="154"/>
      <c r="T98" s="782"/>
      <c r="V98" s="1063"/>
      <c r="W98" s="1063"/>
      <c r="Y98" s="1095"/>
      <c r="Z98" s="1103"/>
      <c r="AA98" s="1103"/>
      <c r="AB98" s="1103"/>
      <c r="AC98" s="1103"/>
      <c r="AG98" s="1097"/>
      <c r="AH98" s="1093"/>
    </row>
    <row r="99" spans="2:40" ht="12.75" customHeight="1" x14ac:dyDescent="0.3">
      <c r="H99" s="16"/>
      <c r="J99" s="292"/>
      <c r="R99" s="397"/>
      <c r="S99" s="154"/>
      <c r="T99" s="782"/>
      <c r="V99" s="1063"/>
      <c r="W99" s="1063"/>
      <c r="Y99" s="1095"/>
      <c r="Z99" s="1103"/>
      <c r="AA99" s="1103"/>
      <c r="AB99" s="1103"/>
      <c r="AC99" s="1103"/>
      <c r="AG99" s="1097"/>
      <c r="AH99" s="1093"/>
    </row>
    <row r="100" spans="2:40" ht="12.75" customHeight="1" x14ac:dyDescent="0.3">
      <c r="C100" s="163"/>
      <c r="D100" s="357"/>
      <c r="E100" s="358"/>
      <c r="F100" s="164"/>
      <c r="G100" s="360"/>
      <c r="H100" s="361"/>
      <c r="I100" s="361"/>
      <c r="J100" s="362"/>
      <c r="K100" s="108"/>
      <c r="L100" s="361"/>
      <c r="M100" s="361"/>
      <c r="N100" s="361"/>
      <c r="O100" s="361"/>
      <c r="P100" s="361"/>
      <c r="Q100" s="108"/>
      <c r="R100" s="393"/>
      <c r="S100" s="363"/>
      <c r="T100" s="778"/>
      <c r="U100" s="109"/>
      <c r="V100" s="1063"/>
      <c r="W100" s="1063"/>
      <c r="AE100" s="1077"/>
      <c r="AF100" s="1078"/>
      <c r="AI100" s="1079"/>
      <c r="AJ100" s="1080"/>
      <c r="AK100" s="283"/>
      <c r="AL100" s="18"/>
    </row>
    <row r="101" spans="2:40" s="236" customFormat="1" ht="12.75" customHeight="1" x14ac:dyDescent="0.3">
      <c r="B101" s="8"/>
      <c r="C101" s="382"/>
      <c r="D101" s="1033" t="s">
        <v>284</v>
      </c>
      <c r="E101" s="1033"/>
      <c r="F101" s="1033"/>
      <c r="G101" s="1033"/>
      <c r="H101" s="1033"/>
      <c r="I101" s="1033"/>
      <c r="J101" s="1033"/>
      <c r="K101" s="1033"/>
      <c r="L101" s="1033" t="s">
        <v>502</v>
      </c>
      <c r="M101" s="1035"/>
      <c r="N101" s="1033"/>
      <c r="O101" s="1033"/>
      <c r="P101" s="1133"/>
      <c r="Q101" s="902"/>
      <c r="R101" s="1033" t="s">
        <v>503</v>
      </c>
      <c r="S101" s="1036"/>
      <c r="T101" s="1134"/>
      <c r="U101" s="1135"/>
      <c r="V101" s="1064"/>
      <c r="W101" s="1064"/>
      <c r="X101" s="384"/>
      <c r="Y101" s="1063"/>
      <c r="Z101" s="1136"/>
      <c r="AA101" s="1063"/>
      <c r="AB101" s="1063"/>
      <c r="AC101" s="1063"/>
      <c r="AD101" s="1137"/>
      <c r="AE101" s="1137"/>
      <c r="AF101" s="1066"/>
      <c r="AG101" s="1090"/>
      <c r="AH101" s="1091"/>
      <c r="AI101" s="1066"/>
      <c r="AJ101" s="1066"/>
      <c r="AM101" s="384"/>
      <c r="AN101" s="384"/>
    </row>
    <row r="102" spans="2:40" s="236" customFormat="1" ht="12.75" customHeight="1" x14ac:dyDescent="0.3">
      <c r="B102" s="8"/>
      <c r="C102" s="382"/>
      <c r="D102" s="903" t="s">
        <v>494</v>
      </c>
      <c r="E102" s="877" t="s">
        <v>181</v>
      </c>
      <c r="F102" s="904" t="s">
        <v>137</v>
      </c>
      <c r="G102" s="905" t="s">
        <v>273</v>
      </c>
      <c r="H102" s="904" t="s">
        <v>206</v>
      </c>
      <c r="I102" s="904" t="s">
        <v>225</v>
      </c>
      <c r="J102" s="906" t="s">
        <v>187</v>
      </c>
      <c r="K102" s="881"/>
      <c r="L102" s="907" t="s">
        <v>479</v>
      </c>
      <c r="M102" s="907" t="s">
        <v>480</v>
      </c>
      <c r="N102" s="907" t="s">
        <v>478</v>
      </c>
      <c r="O102" s="907" t="s">
        <v>479</v>
      </c>
      <c r="P102" s="1138" t="s">
        <v>504</v>
      </c>
      <c r="Q102" s="881"/>
      <c r="R102" s="1037" t="s">
        <v>192</v>
      </c>
      <c r="S102" s="909" t="s">
        <v>505</v>
      </c>
      <c r="T102" s="910" t="s">
        <v>192</v>
      </c>
      <c r="U102" s="1139"/>
      <c r="V102" s="1101"/>
      <c r="W102" s="1101"/>
      <c r="X102" s="386"/>
      <c r="Y102" s="915" t="s">
        <v>303</v>
      </c>
      <c r="Z102" s="1127" t="s">
        <v>497</v>
      </c>
      <c r="AA102" s="1101" t="s">
        <v>498</v>
      </c>
      <c r="AB102" s="1101" t="s">
        <v>498</v>
      </c>
      <c r="AC102" s="1101" t="s">
        <v>495</v>
      </c>
      <c r="AD102" s="1048" t="s">
        <v>488</v>
      </c>
      <c r="AE102" s="1048" t="s">
        <v>489</v>
      </c>
      <c r="AF102" s="916" t="s">
        <v>490</v>
      </c>
      <c r="AG102" s="1092" t="s">
        <v>297</v>
      </c>
      <c r="AH102" s="1091" t="s">
        <v>427</v>
      </c>
      <c r="AI102" s="1066"/>
      <c r="AJ102" s="1066"/>
      <c r="AM102" s="384"/>
      <c r="AN102" s="386"/>
    </row>
    <row r="103" spans="2:40" s="294" customFormat="1" ht="12.75" customHeight="1" x14ac:dyDescent="0.3">
      <c r="C103" s="382"/>
      <c r="D103" s="911"/>
      <c r="E103" s="877"/>
      <c r="F103" s="904" t="s">
        <v>138</v>
      </c>
      <c r="G103" s="905" t="s">
        <v>274</v>
      </c>
      <c r="H103" s="904"/>
      <c r="I103" s="904"/>
      <c r="J103" s="906" t="s">
        <v>276</v>
      </c>
      <c r="K103" s="881"/>
      <c r="L103" s="907" t="s">
        <v>482</v>
      </c>
      <c r="M103" s="907" t="s">
        <v>483</v>
      </c>
      <c r="N103" s="907" t="s">
        <v>481</v>
      </c>
      <c r="O103" s="907" t="s">
        <v>493</v>
      </c>
      <c r="P103" s="1138" t="s">
        <v>269</v>
      </c>
      <c r="Q103" s="881"/>
      <c r="R103" s="908" t="s">
        <v>506</v>
      </c>
      <c r="S103" s="909" t="s">
        <v>484</v>
      </c>
      <c r="T103" s="910" t="s">
        <v>269</v>
      </c>
      <c r="U103" s="887"/>
      <c r="V103" s="1063"/>
      <c r="W103" s="1063"/>
      <c r="X103" s="129"/>
      <c r="Y103" s="915" t="s">
        <v>197</v>
      </c>
      <c r="Z103" s="1129">
        <f>tab!B$50</f>
        <v>0.6</v>
      </c>
      <c r="AA103" s="1101" t="s">
        <v>499</v>
      </c>
      <c r="AB103" s="1101" t="s">
        <v>500</v>
      </c>
      <c r="AC103" s="1101" t="s">
        <v>501</v>
      </c>
      <c r="AD103" s="1048" t="s">
        <v>491</v>
      </c>
      <c r="AE103" s="1048" t="s">
        <v>491</v>
      </c>
      <c r="AF103" s="916" t="s">
        <v>492</v>
      </c>
      <c r="AG103" s="1092"/>
      <c r="AH103" s="1093" t="s">
        <v>224</v>
      </c>
      <c r="AI103" s="1063"/>
      <c r="AJ103" s="1063"/>
      <c r="AN103" s="295"/>
    </row>
    <row r="104" spans="2:40" ht="12.75" customHeight="1" x14ac:dyDescent="0.3">
      <c r="C104" s="114"/>
      <c r="D104" s="367"/>
      <c r="E104" s="367"/>
      <c r="F104" s="367"/>
      <c r="G104" s="367"/>
      <c r="H104" s="367"/>
      <c r="I104" s="367"/>
      <c r="J104" s="367"/>
      <c r="K104" s="365"/>
      <c r="L104" s="367"/>
      <c r="M104" s="367"/>
      <c r="N104" s="367"/>
      <c r="O104" s="367"/>
      <c r="P104" s="367"/>
      <c r="Q104" s="365"/>
      <c r="R104" s="773"/>
      <c r="S104" s="368"/>
      <c r="T104" s="779"/>
      <c r="U104" s="113"/>
      <c r="V104" s="1063"/>
      <c r="W104" s="1063"/>
      <c r="Y104" s="915"/>
      <c r="Z104" s="1064"/>
      <c r="AA104" s="1094"/>
      <c r="AB104" s="1094"/>
      <c r="AC104" s="1094"/>
      <c r="AE104" s="1063"/>
      <c r="AF104" s="1063"/>
      <c r="AG104" s="1092"/>
      <c r="AH104" s="1093"/>
      <c r="AK104" s="8"/>
      <c r="AL104" s="8"/>
      <c r="AN104" s="291"/>
    </row>
    <row r="105" spans="2:40" ht="12.75" customHeight="1" x14ac:dyDescent="0.3">
      <c r="C105" s="114"/>
      <c r="D105" s="353" t="str">
        <f>IF(dir!D83=0,"",dir!D83)</f>
        <v/>
      </c>
      <c r="E105" s="388" t="str">
        <f>IF(dir!E83=0,"-",dir!E83)</f>
        <v>nn</v>
      </c>
      <c r="F105" s="105" t="str">
        <f>IF(dir!F83="","",dir!F83+1)</f>
        <v/>
      </c>
      <c r="G105" s="354" t="str">
        <f>IF(dir!G83="","",dir!G83)</f>
        <v/>
      </c>
      <c r="H105" s="389" t="str">
        <f t="shared" ref="H105:H114" si="72">IF(H83=0,"",H83)</f>
        <v>D11</v>
      </c>
      <c r="I105" s="355">
        <f>IF(J105="","",(IF(dir!I83+1&gt;LOOKUP(H105,schaal2019,regels2019),dir!I83,dir!I83+1)))</f>
        <v>7</v>
      </c>
      <c r="J105" s="356">
        <f>IF(dir!J83="","",dir!J83)</f>
        <v>1</v>
      </c>
      <c r="K105" s="370"/>
      <c r="L105" s="1061">
        <f>IF(dir!L83="","",dir!L83)</f>
        <v>130</v>
      </c>
      <c r="M105" s="1061">
        <f>IF(dir!M83="","",dir!M83)</f>
        <v>170</v>
      </c>
      <c r="N105" s="1051">
        <f t="shared" ref="N105:N114" si="73">IF(J105="","",IF((J105*40)&gt;40,40,((J105*40))))</f>
        <v>40</v>
      </c>
      <c r="O105" s="1051"/>
      <c r="P105" s="1125">
        <f t="shared" ref="P105:P114" si="74">IF(J105="","",(SUM(L105:O105)))</f>
        <v>340</v>
      </c>
      <c r="Q105" s="472"/>
      <c r="R105" s="923">
        <f>IF(J105="","",(((1659*J105)-P105)*AB105))</f>
        <v>63029.595660036168</v>
      </c>
      <c r="S105" s="923">
        <f t="shared" ref="S105:S114" si="75">IF(J105="","",(P105*AC105)+(AA105*AD105)+((AE105*AA105*(1-AF105))))</f>
        <v>11767.276672694396</v>
      </c>
      <c r="T105" s="925">
        <f t="shared" ref="T105:T114" si="76">IF(J105="","",(R105+S105))</f>
        <v>74796.872332730563</v>
      </c>
      <c r="U105" s="236"/>
      <c r="V105" s="1103"/>
      <c r="W105" s="1103"/>
      <c r="X105" s="709"/>
      <c r="Y105" s="1095">
        <f t="shared" ref="Y105:Y114" si="77">IF(H105="","",VLOOKUP(H105,salaris2021,I105+1,FALSE))</f>
        <v>4129</v>
      </c>
      <c r="Z105" s="1094">
        <f>tab!B$50</f>
        <v>0.6</v>
      </c>
      <c r="AA105" s="1126">
        <f t="shared" ref="AA105:AA115" si="78">(Y105*12/1659)</f>
        <v>29.866184448462928</v>
      </c>
      <c r="AB105" s="1126">
        <f t="shared" ref="AB105:AB114" si="79">(Y105*12*(1+Z105))/1659</f>
        <v>47.78589511754069</v>
      </c>
      <c r="AC105" s="1126">
        <f t="shared" ref="AC105:AC114" si="80">AB105-AA105</f>
        <v>17.919710669077762</v>
      </c>
      <c r="AD105" s="1128">
        <f t="shared" ref="AD105:AD114" si="81">(N105+O105)</f>
        <v>40</v>
      </c>
      <c r="AE105" s="1128">
        <f t="shared" ref="AE105:AE114" si="82">(L105+M105)</f>
        <v>300</v>
      </c>
      <c r="AF105" s="1096">
        <f>IF(H105&gt;8,tab!$B$51,tab!$B$54)</f>
        <v>0.5</v>
      </c>
      <c r="AG105" s="1097">
        <f t="shared" ref="AG105:AG114" si="83">IF(F105&lt;25,0,IF(F105=25,25,IF(F105&lt;40,0,IF(F105=40,40,IF(F105&gt;=40,0)))))</f>
        <v>0</v>
      </c>
      <c r="AH105" s="1093">
        <f t="shared" ref="AH105:AH114" si="84">IF(AG105=25,(Y105*1.08*(J105)/2),IF(AG105=40,(Y105*1.08*(J105)),IF(AG105=0,0)))</f>
        <v>0</v>
      </c>
      <c r="AI105" s="1102"/>
    </row>
    <row r="106" spans="2:40" ht="12.75" customHeight="1" x14ac:dyDescent="0.3">
      <c r="C106" s="114"/>
      <c r="D106" s="353" t="str">
        <f>IF(dir!D84=0,"",dir!D84)</f>
        <v/>
      </c>
      <c r="E106" s="388" t="str">
        <f>IF(dir!E84=0,"-",dir!E84)</f>
        <v/>
      </c>
      <c r="F106" s="105" t="str">
        <f>IF(dir!F84="","",dir!F84+1)</f>
        <v/>
      </c>
      <c r="G106" s="354" t="str">
        <f>IF(dir!G84="","",dir!G84)</f>
        <v/>
      </c>
      <c r="H106" s="389" t="str">
        <f t="shared" si="72"/>
        <v/>
      </c>
      <c r="I106" s="355" t="str">
        <f>IF(J106="","",(IF(dir!I84+1&gt;LOOKUP(H106,schaal2019,regels2019),dir!I84,dir!I84+1)))</f>
        <v/>
      </c>
      <c r="J106" s="356" t="str">
        <f>IF(dir!J84="","",dir!J84)</f>
        <v/>
      </c>
      <c r="K106" s="370"/>
      <c r="L106" s="1061">
        <f>IF(dir!L84="","",dir!L84)</f>
        <v>0</v>
      </c>
      <c r="M106" s="1061">
        <f>IF(dir!M84="","",dir!M84)</f>
        <v>0</v>
      </c>
      <c r="N106" s="1051" t="str">
        <f t="shared" si="73"/>
        <v/>
      </c>
      <c r="O106" s="1051"/>
      <c r="P106" s="1125" t="str">
        <f t="shared" si="74"/>
        <v/>
      </c>
      <c r="Q106" s="472"/>
      <c r="R106" s="923" t="str">
        <f t="shared" ref="R106:R114" si="85">IF(J106="","",(((1659*J106)-P106)*AB106))</f>
        <v/>
      </c>
      <c r="S106" s="923" t="str">
        <f t="shared" si="75"/>
        <v/>
      </c>
      <c r="T106" s="925" t="str">
        <f t="shared" si="76"/>
        <v/>
      </c>
      <c r="U106" s="236"/>
      <c r="V106" s="1103"/>
      <c r="W106" s="1103"/>
      <c r="X106" s="709"/>
      <c r="Y106" s="1095" t="str">
        <f t="shared" si="77"/>
        <v/>
      </c>
      <c r="Z106" s="1094">
        <f>tab!B$50</f>
        <v>0.6</v>
      </c>
      <c r="AA106" s="1126" t="e">
        <f t="shared" si="78"/>
        <v>#VALUE!</v>
      </c>
      <c r="AB106" s="1126" t="e">
        <f t="shared" si="79"/>
        <v>#VALUE!</v>
      </c>
      <c r="AC106" s="1126" t="e">
        <f t="shared" si="80"/>
        <v>#VALUE!</v>
      </c>
      <c r="AD106" s="1128" t="e">
        <f t="shared" si="81"/>
        <v>#VALUE!</v>
      </c>
      <c r="AE106" s="1128">
        <f t="shared" si="82"/>
        <v>0</v>
      </c>
      <c r="AF106" s="1096">
        <f>IF(H106&gt;8,tab!$B$51,tab!$B$54)</f>
        <v>0.5</v>
      </c>
      <c r="AG106" s="1097">
        <f t="shared" si="83"/>
        <v>0</v>
      </c>
      <c r="AH106" s="1093">
        <f t="shared" si="84"/>
        <v>0</v>
      </c>
      <c r="AI106" s="1102"/>
    </row>
    <row r="107" spans="2:40" ht="12.75" customHeight="1" x14ac:dyDescent="0.3">
      <c r="C107" s="114"/>
      <c r="D107" s="353" t="str">
        <f>IF(dir!D85=0,"",dir!D85)</f>
        <v/>
      </c>
      <c r="E107" s="388" t="str">
        <f>IF(dir!E85=0,"-",dir!E85)</f>
        <v/>
      </c>
      <c r="F107" s="105" t="str">
        <f>IF(dir!F85="","",dir!F85+1)</f>
        <v/>
      </c>
      <c r="G107" s="354" t="str">
        <f>IF(dir!G85="","",dir!G85)</f>
        <v/>
      </c>
      <c r="H107" s="389" t="str">
        <f t="shared" si="72"/>
        <v/>
      </c>
      <c r="I107" s="355" t="str">
        <f>IF(J107="","",(IF(dir!I85+1&gt;LOOKUP(H107,schaal2019,regels2019),dir!I85,dir!I85+1)))</f>
        <v/>
      </c>
      <c r="J107" s="356" t="str">
        <f>IF(dir!J85="","",dir!J85)</f>
        <v/>
      </c>
      <c r="K107" s="370"/>
      <c r="L107" s="1061">
        <f>IF(dir!L85="","",dir!L85)</f>
        <v>0</v>
      </c>
      <c r="M107" s="1061">
        <f>IF(dir!M85="","",dir!M85)</f>
        <v>0</v>
      </c>
      <c r="N107" s="1051" t="str">
        <f t="shared" si="73"/>
        <v/>
      </c>
      <c r="O107" s="1051"/>
      <c r="P107" s="1125" t="str">
        <f t="shared" si="74"/>
        <v/>
      </c>
      <c r="Q107" s="472"/>
      <c r="R107" s="923" t="str">
        <f t="shared" si="85"/>
        <v/>
      </c>
      <c r="S107" s="923" t="str">
        <f t="shared" si="75"/>
        <v/>
      </c>
      <c r="T107" s="925" t="str">
        <f t="shared" si="76"/>
        <v/>
      </c>
      <c r="U107" s="236"/>
      <c r="V107" s="1103"/>
      <c r="W107" s="1103"/>
      <c r="X107" s="709"/>
      <c r="Y107" s="1095" t="str">
        <f t="shared" si="77"/>
        <v/>
      </c>
      <c r="Z107" s="1094">
        <f>tab!B$50</f>
        <v>0.6</v>
      </c>
      <c r="AA107" s="1126" t="e">
        <f t="shared" si="78"/>
        <v>#VALUE!</v>
      </c>
      <c r="AB107" s="1126" t="e">
        <f t="shared" si="79"/>
        <v>#VALUE!</v>
      </c>
      <c r="AC107" s="1126" t="e">
        <f t="shared" si="80"/>
        <v>#VALUE!</v>
      </c>
      <c r="AD107" s="1128" t="e">
        <f t="shared" si="81"/>
        <v>#VALUE!</v>
      </c>
      <c r="AE107" s="1128">
        <f t="shared" si="82"/>
        <v>0</v>
      </c>
      <c r="AF107" s="1096">
        <f>IF(H107&gt;8,tab!$B$51,tab!$B$54)</f>
        <v>0.5</v>
      </c>
      <c r="AG107" s="1097">
        <f t="shared" si="83"/>
        <v>0</v>
      </c>
      <c r="AH107" s="1093">
        <f t="shared" si="84"/>
        <v>0</v>
      </c>
      <c r="AI107" s="1102"/>
    </row>
    <row r="108" spans="2:40" ht="12.75" customHeight="1" x14ac:dyDescent="0.3">
      <c r="C108" s="114"/>
      <c r="D108" s="353" t="str">
        <f>IF(dir!D86=0,"",dir!D86)</f>
        <v/>
      </c>
      <c r="E108" s="388" t="str">
        <f>IF(dir!E86=0,"-",dir!E86)</f>
        <v/>
      </c>
      <c r="F108" s="105" t="str">
        <f>IF(dir!F86="","",dir!F86+1)</f>
        <v/>
      </c>
      <c r="G108" s="354" t="str">
        <f>IF(dir!G86="","",dir!G86)</f>
        <v/>
      </c>
      <c r="H108" s="389" t="str">
        <f t="shared" si="72"/>
        <v/>
      </c>
      <c r="I108" s="355" t="str">
        <f>IF(J108="","",(IF(dir!I86+1&gt;LOOKUP(H108,schaal2019,regels2019),dir!I86,dir!I86+1)))</f>
        <v/>
      </c>
      <c r="J108" s="356" t="str">
        <f>IF(dir!J86="","",dir!J86)</f>
        <v/>
      </c>
      <c r="K108" s="370"/>
      <c r="L108" s="1061">
        <f>IF(dir!L86="","",dir!L86)</f>
        <v>0</v>
      </c>
      <c r="M108" s="1061">
        <f>IF(dir!M86="","",dir!M86)</f>
        <v>0</v>
      </c>
      <c r="N108" s="1051" t="str">
        <f t="shared" si="73"/>
        <v/>
      </c>
      <c r="O108" s="1051"/>
      <c r="P108" s="1125" t="str">
        <f t="shared" si="74"/>
        <v/>
      </c>
      <c r="Q108" s="472"/>
      <c r="R108" s="923" t="str">
        <f t="shared" si="85"/>
        <v/>
      </c>
      <c r="S108" s="923" t="str">
        <f t="shared" si="75"/>
        <v/>
      </c>
      <c r="T108" s="925" t="str">
        <f t="shared" si="76"/>
        <v/>
      </c>
      <c r="U108" s="236"/>
      <c r="V108" s="1103"/>
      <c r="W108" s="1103"/>
      <c r="X108" s="709"/>
      <c r="Y108" s="1095" t="str">
        <f t="shared" si="77"/>
        <v/>
      </c>
      <c r="Z108" s="1094">
        <f>tab!B$50</f>
        <v>0.6</v>
      </c>
      <c r="AA108" s="1126" t="e">
        <f t="shared" si="78"/>
        <v>#VALUE!</v>
      </c>
      <c r="AB108" s="1126" t="e">
        <f t="shared" si="79"/>
        <v>#VALUE!</v>
      </c>
      <c r="AC108" s="1126" t="e">
        <f t="shared" si="80"/>
        <v>#VALUE!</v>
      </c>
      <c r="AD108" s="1128" t="e">
        <f t="shared" si="81"/>
        <v>#VALUE!</v>
      </c>
      <c r="AE108" s="1128">
        <f t="shared" si="82"/>
        <v>0</v>
      </c>
      <c r="AF108" s="1096">
        <f>IF(H108&gt;8,tab!$B$51,tab!$B$54)</f>
        <v>0.5</v>
      </c>
      <c r="AG108" s="1097">
        <f t="shared" si="83"/>
        <v>0</v>
      </c>
      <c r="AH108" s="1093">
        <f t="shared" si="84"/>
        <v>0</v>
      </c>
      <c r="AI108" s="1102"/>
    </row>
    <row r="109" spans="2:40" ht="12.75" customHeight="1" x14ac:dyDescent="0.3">
      <c r="C109" s="114"/>
      <c r="D109" s="353" t="str">
        <f>IF(dir!D87=0,"",dir!D87)</f>
        <v/>
      </c>
      <c r="E109" s="388" t="str">
        <f>IF(dir!E87=0,"-",dir!E87)</f>
        <v/>
      </c>
      <c r="F109" s="105" t="str">
        <f>IF(dir!F87="","",dir!F87+1)</f>
        <v/>
      </c>
      <c r="G109" s="354" t="str">
        <f>IF(dir!G87="","",dir!G87)</f>
        <v/>
      </c>
      <c r="H109" s="389" t="str">
        <f t="shared" si="72"/>
        <v/>
      </c>
      <c r="I109" s="355" t="str">
        <f>IF(J109="","",(IF(dir!I87+1&gt;LOOKUP(H109,schaal2019,regels2019),dir!I87,dir!I87+1)))</f>
        <v/>
      </c>
      <c r="J109" s="356" t="str">
        <f>IF(dir!J87="","",dir!J87)</f>
        <v/>
      </c>
      <c r="K109" s="370"/>
      <c r="L109" s="1061">
        <f>IF(dir!L87="","",dir!L87)</f>
        <v>0</v>
      </c>
      <c r="M109" s="1061">
        <f>IF(dir!M87="","",dir!M87)</f>
        <v>0</v>
      </c>
      <c r="N109" s="1051" t="str">
        <f t="shared" si="73"/>
        <v/>
      </c>
      <c r="O109" s="1051"/>
      <c r="P109" s="1125" t="str">
        <f t="shared" si="74"/>
        <v/>
      </c>
      <c r="Q109" s="472"/>
      <c r="R109" s="923" t="str">
        <f t="shared" si="85"/>
        <v/>
      </c>
      <c r="S109" s="923" t="str">
        <f t="shared" si="75"/>
        <v/>
      </c>
      <c r="T109" s="925" t="str">
        <f t="shared" si="76"/>
        <v/>
      </c>
      <c r="U109" s="236"/>
      <c r="V109" s="1103"/>
      <c r="W109" s="1103"/>
      <c r="X109" s="709"/>
      <c r="Y109" s="1095" t="str">
        <f t="shared" si="77"/>
        <v/>
      </c>
      <c r="Z109" s="1094">
        <f>tab!B$50</f>
        <v>0.6</v>
      </c>
      <c r="AA109" s="1126" t="e">
        <f t="shared" si="78"/>
        <v>#VALUE!</v>
      </c>
      <c r="AB109" s="1126" t="e">
        <f t="shared" si="79"/>
        <v>#VALUE!</v>
      </c>
      <c r="AC109" s="1126" t="e">
        <f t="shared" si="80"/>
        <v>#VALUE!</v>
      </c>
      <c r="AD109" s="1128" t="e">
        <f t="shared" si="81"/>
        <v>#VALUE!</v>
      </c>
      <c r="AE109" s="1128">
        <f t="shared" si="82"/>
        <v>0</v>
      </c>
      <c r="AF109" s="1096">
        <f>IF(H109&gt;8,tab!$B$51,tab!$B$54)</f>
        <v>0.5</v>
      </c>
      <c r="AG109" s="1097">
        <f t="shared" si="83"/>
        <v>0</v>
      </c>
      <c r="AH109" s="1093">
        <f t="shared" si="84"/>
        <v>0</v>
      </c>
      <c r="AI109" s="1102"/>
    </row>
    <row r="110" spans="2:40" ht="12.75" customHeight="1" x14ac:dyDescent="0.3">
      <c r="C110" s="114"/>
      <c r="D110" s="353" t="str">
        <f>IF(dir!D88=0,"",dir!D88)</f>
        <v/>
      </c>
      <c r="E110" s="388" t="str">
        <f>IF(dir!E88=0,"-",dir!E88)</f>
        <v/>
      </c>
      <c r="F110" s="105" t="str">
        <f>IF(dir!F88="","",dir!F88+1)</f>
        <v/>
      </c>
      <c r="G110" s="354" t="str">
        <f>IF(dir!G88="","",dir!G88)</f>
        <v/>
      </c>
      <c r="H110" s="389" t="str">
        <f t="shared" si="72"/>
        <v/>
      </c>
      <c r="I110" s="355" t="str">
        <f>IF(J110="","",(IF(dir!I88+1&gt;LOOKUP(H110,schaal2019,regels2019),dir!I88,dir!I88+1)))</f>
        <v/>
      </c>
      <c r="J110" s="356" t="str">
        <f>IF(dir!J88="","",dir!J88)</f>
        <v/>
      </c>
      <c r="K110" s="370"/>
      <c r="L110" s="1061">
        <f>IF(dir!L88="","",dir!L88)</f>
        <v>0</v>
      </c>
      <c r="M110" s="1061">
        <f>IF(dir!M88="","",dir!M88)</f>
        <v>0</v>
      </c>
      <c r="N110" s="1051" t="str">
        <f t="shared" si="73"/>
        <v/>
      </c>
      <c r="O110" s="1051"/>
      <c r="P110" s="1125" t="str">
        <f t="shared" si="74"/>
        <v/>
      </c>
      <c r="Q110" s="472"/>
      <c r="R110" s="923" t="str">
        <f t="shared" si="85"/>
        <v/>
      </c>
      <c r="S110" s="923" t="str">
        <f t="shared" si="75"/>
        <v/>
      </c>
      <c r="T110" s="925" t="str">
        <f t="shared" si="76"/>
        <v/>
      </c>
      <c r="U110" s="236"/>
      <c r="V110" s="1103"/>
      <c r="W110" s="1103"/>
      <c r="X110" s="709"/>
      <c r="Y110" s="1095" t="str">
        <f t="shared" si="77"/>
        <v/>
      </c>
      <c r="Z110" s="1094">
        <f>tab!B$50</f>
        <v>0.6</v>
      </c>
      <c r="AA110" s="1126" t="e">
        <f t="shared" si="78"/>
        <v>#VALUE!</v>
      </c>
      <c r="AB110" s="1126" t="e">
        <f t="shared" si="79"/>
        <v>#VALUE!</v>
      </c>
      <c r="AC110" s="1126" t="e">
        <f t="shared" si="80"/>
        <v>#VALUE!</v>
      </c>
      <c r="AD110" s="1128" t="e">
        <f t="shared" si="81"/>
        <v>#VALUE!</v>
      </c>
      <c r="AE110" s="1128">
        <f t="shared" si="82"/>
        <v>0</v>
      </c>
      <c r="AF110" s="1096">
        <f>IF(H110&gt;8,tab!$B$51,tab!$B$54)</f>
        <v>0.5</v>
      </c>
      <c r="AG110" s="1097">
        <f t="shared" si="83"/>
        <v>0</v>
      </c>
      <c r="AH110" s="1093">
        <f t="shared" si="84"/>
        <v>0</v>
      </c>
      <c r="AI110" s="1102"/>
    </row>
    <row r="111" spans="2:40" ht="12.75" customHeight="1" x14ac:dyDescent="0.3">
      <c r="C111" s="114"/>
      <c r="D111" s="353" t="str">
        <f>IF(dir!D89=0,"",dir!D89)</f>
        <v/>
      </c>
      <c r="E111" s="388" t="str">
        <f>IF(dir!E89=0,"-",dir!E89)</f>
        <v/>
      </c>
      <c r="F111" s="105" t="str">
        <f>IF(dir!F89="","",dir!F89+1)</f>
        <v/>
      </c>
      <c r="G111" s="354" t="str">
        <f>IF(dir!G89="","",dir!G89)</f>
        <v/>
      </c>
      <c r="H111" s="389" t="str">
        <f t="shared" si="72"/>
        <v/>
      </c>
      <c r="I111" s="355" t="str">
        <f>IF(J111="","",(IF(dir!I89+1&gt;LOOKUP(H111,schaal2019,regels2019),dir!I89,dir!I89+1)))</f>
        <v/>
      </c>
      <c r="J111" s="356" t="str">
        <f>IF(dir!J89="","",dir!J89)</f>
        <v/>
      </c>
      <c r="K111" s="370"/>
      <c r="L111" s="1061">
        <f>IF(dir!L89="","",dir!L89)</f>
        <v>0</v>
      </c>
      <c r="M111" s="1061">
        <f>IF(dir!M89="","",dir!M89)</f>
        <v>0</v>
      </c>
      <c r="N111" s="1051" t="str">
        <f t="shared" si="73"/>
        <v/>
      </c>
      <c r="O111" s="1051"/>
      <c r="P111" s="1125" t="str">
        <f t="shared" si="74"/>
        <v/>
      </c>
      <c r="Q111" s="472"/>
      <c r="R111" s="923" t="str">
        <f t="shared" si="85"/>
        <v/>
      </c>
      <c r="S111" s="923" t="str">
        <f t="shared" si="75"/>
        <v/>
      </c>
      <c r="T111" s="925" t="str">
        <f t="shared" si="76"/>
        <v/>
      </c>
      <c r="U111" s="236"/>
      <c r="V111" s="1103"/>
      <c r="W111" s="1103"/>
      <c r="X111" s="709"/>
      <c r="Y111" s="1095" t="str">
        <f t="shared" si="77"/>
        <v/>
      </c>
      <c r="Z111" s="1094">
        <f>tab!B$50</f>
        <v>0.6</v>
      </c>
      <c r="AA111" s="1126" t="e">
        <f t="shared" si="78"/>
        <v>#VALUE!</v>
      </c>
      <c r="AB111" s="1126" t="e">
        <f t="shared" si="79"/>
        <v>#VALUE!</v>
      </c>
      <c r="AC111" s="1126" t="e">
        <f t="shared" si="80"/>
        <v>#VALUE!</v>
      </c>
      <c r="AD111" s="1128" t="e">
        <f t="shared" si="81"/>
        <v>#VALUE!</v>
      </c>
      <c r="AE111" s="1128">
        <f t="shared" si="82"/>
        <v>0</v>
      </c>
      <c r="AF111" s="1096">
        <f>IF(H111&gt;8,tab!$B$51,tab!$B$54)</f>
        <v>0.5</v>
      </c>
      <c r="AG111" s="1097">
        <f t="shared" si="83"/>
        <v>0</v>
      </c>
      <c r="AH111" s="1093">
        <f t="shared" si="84"/>
        <v>0</v>
      </c>
      <c r="AI111" s="1102"/>
    </row>
    <row r="112" spans="2:40" ht="12.75" customHeight="1" x14ac:dyDescent="0.3">
      <c r="C112" s="114"/>
      <c r="D112" s="353" t="str">
        <f>IF(dir!D90=0,"",dir!D90)</f>
        <v/>
      </c>
      <c r="E112" s="388" t="str">
        <f>IF(dir!E90=0,"-",dir!E90)</f>
        <v/>
      </c>
      <c r="F112" s="105" t="str">
        <f>IF(dir!F90="","",dir!F90+1)</f>
        <v/>
      </c>
      <c r="G112" s="354" t="str">
        <f>IF(dir!G90="","",dir!G90)</f>
        <v/>
      </c>
      <c r="H112" s="389" t="str">
        <f t="shared" si="72"/>
        <v/>
      </c>
      <c r="I112" s="355" t="str">
        <f>IF(J112="","",(IF(dir!I90+1&gt;LOOKUP(H112,schaal2019,regels2019),dir!I90,dir!I90+1)))</f>
        <v/>
      </c>
      <c r="J112" s="356" t="str">
        <f>IF(dir!J90="","",dir!J90)</f>
        <v/>
      </c>
      <c r="K112" s="370"/>
      <c r="L112" s="1061">
        <f>IF(dir!L90="","",dir!L90)</f>
        <v>0</v>
      </c>
      <c r="M112" s="1061">
        <f>IF(dir!M90="","",dir!M90)</f>
        <v>0</v>
      </c>
      <c r="N112" s="1051" t="str">
        <f t="shared" si="73"/>
        <v/>
      </c>
      <c r="O112" s="1051"/>
      <c r="P112" s="1125" t="str">
        <f t="shared" si="74"/>
        <v/>
      </c>
      <c r="Q112" s="472"/>
      <c r="R112" s="923" t="str">
        <f t="shared" si="85"/>
        <v/>
      </c>
      <c r="S112" s="923" t="str">
        <f t="shared" si="75"/>
        <v/>
      </c>
      <c r="T112" s="925" t="str">
        <f t="shared" si="76"/>
        <v/>
      </c>
      <c r="U112" s="236"/>
      <c r="V112" s="1103"/>
      <c r="W112" s="1103"/>
      <c r="X112" s="709"/>
      <c r="Y112" s="1095" t="str">
        <f t="shared" si="77"/>
        <v/>
      </c>
      <c r="Z112" s="1094">
        <f>tab!B$50</f>
        <v>0.6</v>
      </c>
      <c r="AA112" s="1126" t="e">
        <f t="shared" si="78"/>
        <v>#VALUE!</v>
      </c>
      <c r="AB112" s="1126" t="e">
        <f t="shared" si="79"/>
        <v>#VALUE!</v>
      </c>
      <c r="AC112" s="1126" t="e">
        <f t="shared" si="80"/>
        <v>#VALUE!</v>
      </c>
      <c r="AD112" s="1128" t="e">
        <f t="shared" si="81"/>
        <v>#VALUE!</v>
      </c>
      <c r="AE112" s="1128">
        <f t="shared" si="82"/>
        <v>0</v>
      </c>
      <c r="AF112" s="1096">
        <f>IF(H112&gt;8,tab!$B$51,tab!$B$54)</f>
        <v>0.5</v>
      </c>
      <c r="AG112" s="1097">
        <f t="shared" si="83"/>
        <v>0</v>
      </c>
      <c r="AH112" s="1093">
        <f t="shared" si="84"/>
        <v>0</v>
      </c>
      <c r="AI112" s="1102"/>
    </row>
    <row r="113" spans="2:40" ht="12.75" customHeight="1" x14ac:dyDescent="0.3">
      <c r="C113" s="114"/>
      <c r="D113" s="353" t="str">
        <f>IF(dir!D91=0,"",dir!D91)</f>
        <v/>
      </c>
      <c r="E113" s="388" t="str">
        <f>IF(dir!E91=0,"-",dir!E91)</f>
        <v/>
      </c>
      <c r="F113" s="105" t="str">
        <f>IF(dir!F91="","",dir!F91+1)</f>
        <v/>
      </c>
      <c r="G113" s="354" t="str">
        <f>IF(dir!G91="","",dir!G91)</f>
        <v/>
      </c>
      <c r="H113" s="389" t="str">
        <f t="shared" si="72"/>
        <v/>
      </c>
      <c r="I113" s="355" t="str">
        <f>IF(J113="","",(IF(dir!I91+1&gt;LOOKUP(H113,schaal2019,regels2019),dir!I91,dir!I91+1)))</f>
        <v/>
      </c>
      <c r="J113" s="356" t="str">
        <f>IF(dir!J91="","",dir!J91)</f>
        <v/>
      </c>
      <c r="K113" s="370"/>
      <c r="L113" s="1061">
        <f>IF(dir!L91="","",dir!L91)</f>
        <v>0</v>
      </c>
      <c r="M113" s="1061">
        <f>IF(dir!M91="","",dir!M91)</f>
        <v>0</v>
      </c>
      <c r="N113" s="1051" t="str">
        <f t="shared" si="73"/>
        <v/>
      </c>
      <c r="O113" s="1051"/>
      <c r="P113" s="1125" t="str">
        <f t="shared" si="74"/>
        <v/>
      </c>
      <c r="Q113" s="472"/>
      <c r="R113" s="923" t="str">
        <f t="shared" si="85"/>
        <v/>
      </c>
      <c r="S113" s="923" t="str">
        <f t="shared" si="75"/>
        <v/>
      </c>
      <c r="T113" s="925" t="str">
        <f t="shared" si="76"/>
        <v/>
      </c>
      <c r="U113" s="236"/>
      <c r="V113" s="1103"/>
      <c r="W113" s="1103"/>
      <c r="X113" s="709"/>
      <c r="Y113" s="1095" t="str">
        <f t="shared" si="77"/>
        <v/>
      </c>
      <c r="Z113" s="1094">
        <f>tab!B$50</f>
        <v>0.6</v>
      </c>
      <c r="AA113" s="1126" t="e">
        <f t="shared" si="78"/>
        <v>#VALUE!</v>
      </c>
      <c r="AB113" s="1126" t="e">
        <f t="shared" si="79"/>
        <v>#VALUE!</v>
      </c>
      <c r="AC113" s="1126" t="e">
        <f t="shared" si="80"/>
        <v>#VALUE!</v>
      </c>
      <c r="AD113" s="1128" t="e">
        <f t="shared" si="81"/>
        <v>#VALUE!</v>
      </c>
      <c r="AE113" s="1128">
        <f t="shared" si="82"/>
        <v>0</v>
      </c>
      <c r="AF113" s="1096">
        <f>IF(H113&gt;8,tab!$B$51,tab!$B$54)</f>
        <v>0.5</v>
      </c>
      <c r="AG113" s="1097">
        <f t="shared" si="83"/>
        <v>0</v>
      </c>
      <c r="AH113" s="1093">
        <f t="shared" si="84"/>
        <v>0</v>
      </c>
      <c r="AI113" s="1102"/>
    </row>
    <row r="114" spans="2:40" ht="12.75" customHeight="1" x14ac:dyDescent="0.3">
      <c r="C114" s="114"/>
      <c r="D114" s="353" t="str">
        <f>IF(dir!D92=0,"",dir!D92)</f>
        <v/>
      </c>
      <c r="E114" s="388" t="str">
        <f>IF(dir!E92=0,"-",dir!E92)</f>
        <v/>
      </c>
      <c r="F114" s="105" t="str">
        <f>IF(dir!F92="","",dir!F92+1)</f>
        <v/>
      </c>
      <c r="G114" s="354" t="str">
        <f>IF(dir!G92="","",dir!G92)</f>
        <v/>
      </c>
      <c r="H114" s="389" t="str">
        <f t="shared" si="72"/>
        <v/>
      </c>
      <c r="I114" s="355" t="str">
        <f>IF(J114="","",(IF(dir!I92+1&gt;LOOKUP(H114,schaal2019,regels2019),dir!I92,dir!I92+1)))</f>
        <v/>
      </c>
      <c r="J114" s="356" t="str">
        <f>IF(dir!J92="","",dir!J92)</f>
        <v/>
      </c>
      <c r="K114" s="370"/>
      <c r="L114" s="1061">
        <f>IF(dir!L92="","",dir!L92)</f>
        <v>0</v>
      </c>
      <c r="M114" s="1061">
        <f>IF(dir!M92="","",dir!M92)</f>
        <v>0</v>
      </c>
      <c r="N114" s="1051" t="str">
        <f t="shared" si="73"/>
        <v/>
      </c>
      <c r="O114" s="1051"/>
      <c r="P114" s="1125" t="str">
        <f t="shared" si="74"/>
        <v/>
      </c>
      <c r="Q114" s="472"/>
      <c r="R114" s="923" t="str">
        <f t="shared" si="85"/>
        <v/>
      </c>
      <c r="S114" s="923" t="str">
        <f t="shared" si="75"/>
        <v/>
      </c>
      <c r="T114" s="925" t="str">
        <f t="shared" si="76"/>
        <v/>
      </c>
      <c r="U114" s="236"/>
      <c r="V114" s="1103"/>
      <c r="W114" s="1103"/>
      <c r="X114" s="709"/>
      <c r="Y114" s="1095" t="str">
        <f t="shared" si="77"/>
        <v/>
      </c>
      <c r="Z114" s="1094">
        <f>tab!B$50</f>
        <v>0.6</v>
      </c>
      <c r="AA114" s="1126" t="e">
        <f t="shared" si="78"/>
        <v>#VALUE!</v>
      </c>
      <c r="AB114" s="1126" t="e">
        <f t="shared" si="79"/>
        <v>#VALUE!</v>
      </c>
      <c r="AC114" s="1126" t="e">
        <f t="shared" si="80"/>
        <v>#VALUE!</v>
      </c>
      <c r="AD114" s="1128" t="e">
        <f t="shared" si="81"/>
        <v>#VALUE!</v>
      </c>
      <c r="AE114" s="1128">
        <f t="shared" si="82"/>
        <v>0</v>
      </c>
      <c r="AF114" s="1096">
        <f>IF(H114&gt;8,tab!$B$51,tab!$B$54)</f>
        <v>0.5</v>
      </c>
      <c r="AG114" s="1097">
        <f t="shared" si="83"/>
        <v>0</v>
      </c>
      <c r="AH114" s="1093">
        <f t="shared" si="84"/>
        <v>0</v>
      </c>
      <c r="AI114" s="1102"/>
    </row>
    <row r="115" spans="2:40" ht="12.75" customHeight="1" x14ac:dyDescent="0.3">
      <c r="C115" s="114"/>
      <c r="D115" s="166"/>
      <c r="E115" s="212"/>
      <c r="F115" s="372"/>
      <c r="G115" s="373"/>
      <c r="H115" s="116"/>
      <c r="I115" s="116"/>
      <c r="J115" s="919">
        <f>SUM(J105:J114)</f>
        <v>1</v>
      </c>
      <c r="K115" s="372"/>
      <c r="L115" s="1039">
        <f t="shared" ref="L115:P115" si="86">SUM(L105:L114)</f>
        <v>130</v>
      </c>
      <c r="M115" s="1039">
        <f t="shared" si="86"/>
        <v>170</v>
      </c>
      <c r="N115" s="1039">
        <f>SUM(N105:N114)</f>
        <v>40</v>
      </c>
      <c r="O115" s="1039"/>
      <c r="P115" s="1039">
        <f t="shared" si="86"/>
        <v>340</v>
      </c>
      <c r="Q115" s="372"/>
      <c r="R115" s="920">
        <f t="shared" ref="R115:T115" si="87">SUM(R105:R114)</f>
        <v>63029.595660036168</v>
      </c>
      <c r="S115" s="921">
        <f t="shared" si="87"/>
        <v>11767.276672694396</v>
      </c>
      <c r="T115" s="920">
        <f t="shared" si="87"/>
        <v>74796.872332730563</v>
      </c>
      <c r="U115" s="371"/>
      <c r="V115" s="1063"/>
      <c r="W115" s="1063"/>
      <c r="Y115" s="1098">
        <f>SUM(Y105:Y114)</f>
        <v>4129</v>
      </c>
      <c r="Z115" s="1130"/>
      <c r="AA115" s="1098">
        <f t="shared" si="78"/>
        <v>29.866184448462928</v>
      </c>
      <c r="AB115" s="1098"/>
      <c r="AC115" s="1098"/>
      <c r="AG115" s="1099"/>
      <c r="AH115" s="1100"/>
      <c r="AI115" s="1102"/>
    </row>
    <row r="116" spans="2:40" ht="12.75" customHeight="1" x14ac:dyDescent="0.3">
      <c r="C116" s="169"/>
      <c r="D116" s="374"/>
      <c r="E116" s="250"/>
      <c r="F116" s="170"/>
      <c r="G116" s="375"/>
      <c r="H116" s="170"/>
      <c r="I116" s="376"/>
      <c r="J116" s="377"/>
      <c r="K116" s="250"/>
      <c r="L116" s="376"/>
      <c r="M116" s="376"/>
      <c r="N116" s="376"/>
      <c r="O116" s="376"/>
      <c r="P116" s="376"/>
      <c r="Q116" s="250"/>
      <c r="R116" s="394"/>
      <c r="S116" s="379"/>
      <c r="T116" s="780"/>
      <c r="U116" s="380"/>
      <c r="V116" s="1063"/>
      <c r="W116" s="1063"/>
      <c r="Y116" s="1079"/>
      <c r="Z116" s="1130"/>
      <c r="AA116" s="1098"/>
      <c r="AB116" s="1098"/>
      <c r="AC116" s="1098"/>
      <c r="AG116" s="1099"/>
      <c r="AH116" s="1100"/>
      <c r="AI116" s="1102"/>
    </row>
    <row r="117" spans="2:40" ht="12.75" customHeight="1" x14ac:dyDescent="0.3">
      <c r="H117" s="16"/>
      <c r="J117" s="292"/>
      <c r="R117" s="397"/>
      <c r="S117" s="154"/>
      <c r="T117" s="782"/>
      <c r="V117" s="1063"/>
      <c r="W117" s="1063"/>
      <c r="Y117" s="1095"/>
      <c r="Z117" s="1103"/>
      <c r="AA117" s="1103"/>
      <c r="AB117" s="1103"/>
      <c r="AC117" s="1103"/>
      <c r="AG117" s="1097"/>
      <c r="AH117" s="1093"/>
    </row>
    <row r="118" spans="2:40" ht="12.75" customHeight="1" x14ac:dyDescent="0.3">
      <c r="H118" s="16"/>
      <c r="J118" s="292"/>
      <c r="R118" s="397"/>
      <c r="S118" s="154"/>
      <c r="T118" s="782"/>
      <c r="V118" s="1063"/>
      <c r="W118" s="1063"/>
      <c r="Y118" s="1095"/>
      <c r="Z118" s="1103"/>
      <c r="AA118" s="1103"/>
      <c r="AB118" s="1103"/>
      <c r="AC118" s="1103"/>
      <c r="AG118" s="1097"/>
      <c r="AH118" s="1093"/>
    </row>
    <row r="119" spans="2:40" ht="12.75" customHeight="1" x14ac:dyDescent="0.3">
      <c r="C119" s="8" t="s">
        <v>180</v>
      </c>
      <c r="E119" s="238" t="str">
        <f>tab!F2</f>
        <v>2024/25</v>
      </c>
      <c r="H119" s="16"/>
      <c r="J119" s="292"/>
      <c r="R119" s="397"/>
      <c r="S119" s="154"/>
      <c r="T119" s="782"/>
      <c r="V119" s="1063"/>
      <c r="W119" s="1063"/>
      <c r="Y119" s="1095"/>
      <c r="Z119" s="1103"/>
      <c r="AA119" s="1103"/>
      <c r="AB119" s="1103"/>
      <c r="AC119" s="1103"/>
      <c r="AG119" s="1097"/>
      <c r="AH119" s="1093"/>
    </row>
    <row r="120" spans="2:40" ht="12.75" customHeight="1" x14ac:dyDescent="0.3">
      <c r="C120" s="15" t="s">
        <v>193</v>
      </c>
      <c r="E120" s="289">
        <f>tab!G3</f>
        <v>45566</v>
      </c>
      <c r="H120" s="16"/>
      <c r="J120" s="292"/>
      <c r="R120" s="397"/>
      <c r="S120" s="154"/>
      <c r="T120" s="782"/>
      <c r="V120" s="1063"/>
      <c r="W120" s="1063"/>
      <c r="Y120" s="1095"/>
      <c r="Z120" s="1103"/>
      <c r="AA120" s="1103"/>
      <c r="AB120" s="1103"/>
      <c r="AC120" s="1103"/>
      <c r="AG120" s="1097"/>
      <c r="AH120" s="1093"/>
    </row>
    <row r="121" spans="2:40" ht="12.75" customHeight="1" x14ac:dyDescent="0.3">
      <c r="H121" s="16"/>
      <c r="J121" s="292"/>
      <c r="R121" s="397"/>
      <c r="S121" s="154"/>
      <c r="T121" s="782"/>
      <c r="V121" s="1063"/>
      <c r="W121" s="1063"/>
      <c r="Y121" s="1095"/>
      <c r="Z121" s="1103"/>
      <c r="AA121" s="1103"/>
      <c r="AB121" s="1103"/>
      <c r="AC121" s="1103"/>
      <c r="AG121" s="1097"/>
      <c r="AH121" s="1093"/>
    </row>
    <row r="122" spans="2:40" ht="12.75" customHeight="1" x14ac:dyDescent="0.3">
      <c r="C122" s="163"/>
      <c r="D122" s="357"/>
      <c r="E122" s="358"/>
      <c r="F122" s="164"/>
      <c r="G122" s="360"/>
      <c r="H122" s="361"/>
      <c r="I122" s="361"/>
      <c r="J122" s="362"/>
      <c r="K122" s="108"/>
      <c r="L122" s="361"/>
      <c r="M122" s="361"/>
      <c r="N122" s="361"/>
      <c r="O122" s="361"/>
      <c r="P122" s="361"/>
      <c r="Q122" s="108"/>
      <c r="R122" s="393"/>
      <c r="S122" s="363"/>
      <c r="T122" s="778"/>
      <c r="U122" s="109"/>
      <c r="V122" s="1063"/>
      <c r="W122" s="1063"/>
      <c r="AE122" s="1077"/>
      <c r="AF122" s="1078"/>
      <c r="AI122" s="1079"/>
      <c r="AJ122" s="1080"/>
      <c r="AK122" s="283"/>
      <c r="AL122" s="18"/>
    </row>
    <row r="123" spans="2:40" s="236" customFormat="1" ht="12.75" customHeight="1" x14ac:dyDescent="0.3">
      <c r="B123" s="8"/>
      <c r="C123" s="382"/>
      <c r="D123" s="1033" t="s">
        <v>284</v>
      </c>
      <c r="E123" s="1033"/>
      <c r="F123" s="1033"/>
      <c r="G123" s="1033"/>
      <c r="H123" s="1033"/>
      <c r="I123" s="1033"/>
      <c r="J123" s="1033"/>
      <c r="K123" s="1033"/>
      <c r="L123" s="1033" t="s">
        <v>502</v>
      </c>
      <c r="M123" s="1035"/>
      <c r="N123" s="1033"/>
      <c r="O123" s="1033"/>
      <c r="P123" s="1133"/>
      <c r="Q123" s="902"/>
      <c r="R123" s="1033" t="s">
        <v>503</v>
      </c>
      <c r="S123" s="1036"/>
      <c r="T123" s="1134"/>
      <c r="U123" s="1135"/>
      <c r="V123" s="1064"/>
      <c r="W123" s="1064"/>
      <c r="X123" s="384"/>
      <c r="Y123" s="1063"/>
      <c r="Z123" s="1136"/>
      <c r="AA123" s="1063"/>
      <c r="AB123" s="1063"/>
      <c r="AC123" s="1063"/>
      <c r="AD123" s="1137"/>
      <c r="AE123" s="1137"/>
      <c r="AF123" s="1066"/>
      <c r="AG123" s="1090"/>
      <c r="AH123" s="1091"/>
      <c r="AI123" s="1066"/>
      <c r="AJ123" s="1066"/>
      <c r="AM123" s="384"/>
      <c r="AN123" s="384"/>
    </row>
    <row r="124" spans="2:40" s="236" customFormat="1" ht="12.75" customHeight="1" x14ac:dyDescent="0.3">
      <c r="B124" s="8"/>
      <c r="C124" s="382"/>
      <c r="D124" s="903" t="s">
        <v>494</v>
      </c>
      <c r="E124" s="877" t="s">
        <v>181</v>
      </c>
      <c r="F124" s="904" t="s">
        <v>137</v>
      </c>
      <c r="G124" s="905" t="s">
        <v>273</v>
      </c>
      <c r="H124" s="904" t="s">
        <v>206</v>
      </c>
      <c r="I124" s="904" t="s">
        <v>225</v>
      </c>
      <c r="J124" s="906" t="s">
        <v>187</v>
      </c>
      <c r="K124" s="881"/>
      <c r="L124" s="907" t="s">
        <v>479</v>
      </c>
      <c r="M124" s="907" t="s">
        <v>480</v>
      </c>
      <c r="N124" s="907" t="s">
        <v>478</v>
      </c>
      <c r="O124" s="907" t="s">
        <v>479</v>
      </c>
      <c r="P124" s="1138" t="s">
        <v>504</v>
      </c>
      <c r="Q124" s="881"/>
      <c r="R124" s="1037" t="s">
        <v>192</v>
      </c>
      <c r="S124" s="909" t="s">
        <v>505</v>
      </c>
      <c r="T124" s="910" t="s">
        <v>192</v>
      </c>
      <c r="U124" s="1139"/>
      <c r="V124" s="1101"/>
      <c r="W124" s="1101"/>
      <c r="X124" s="386"/>
      <c r="Y124" s="915" t="s">
        <v>303</v>
      </c>
      <c r="Z124" s="1127" t="s">
        <v>497</v>
      </c>
      <c r="AA124" s="1101" t="s">
        <v>498</v>
      </c>
      <c r="AB124" s="1101" t="s">
        <v>498</v>
      </c>
      <c r="AC124" s="1101" t="s">
        <v>495</v>
      </c>
      <c r="AD124" s="1048" t="s">
        <v>488</v>
      </c>
      <c r="AE124" s="1048" t="s">
        <v>489</v>
      </c>
      <c r="AF124" s="916" t="s">
        <v>490</v>
      </c>
      <c r="AG124" s="1092" t="s">
        <v>297</v>
      </c>
      <c r="AH124" s="1091" t="s">
        <v>427</v>
      </c>
      <c r="AI124" s="1066"/>
      <c r="AJ124" s="1066"/>
      <c r="AM124" s="384"/>
      <c r="AN124" s="386"/>
    </row>
    <row r="125" spans="2:40" s="294" customFormat="1" ht="12.75" customHeight="1" x14ac:dyDescent="0.3">
      <c r="C125" s="382"/>
      <c r="D125" s="911"/>
      <c r="E125" s="877"/>
      <c r="F125" s="904" t="s">
        <v>138</v>
      </c>
      <c r="G125" s="905" t="s">
        <v>274</v>
      </c>
      <c r="H125" s="904"/>
      <c r="I125" s="904"/>
      <c r="J125" s="906" t="s">
        <v>276</v>
      </c>
      <c r="K125" s="881"/>
      <c r="L125" s="907" t="s">
        <v>482</v>
      </c>
      <c r="M125" s="907" t="s">
        <v>483</v>
      </c>
      <c r="N125" s="907" t="s">
        <v>481</v>
      </c>
      <c r="O125" s="907" t="s">
        <v>493</v>
      </c>
      <c r="P125" s="1138" t="s">
        <v>269</v>
      </c>
      <c r="Q125" s="881"/>
      <c r="R125" s="908" t="s">
        <v>506</v>
      </c>
      <c r="S125" s="909" t="s">
        <v>484</v>
      </c>
      <c r="T125" s="910" t="s">
        <v>269</v>
      </c>
      <c r="U125" s="887"/>
      <c r="V125" s="1063"/>
      <c r="W125" s="1063"/>
      <c r="X125" s="129"/>
      <c r="Y125" s="915" t="s">
        <v>197</v>
      </c>
      <c r="Z125" s="1129">
        <f>tab!B$50</f>
        <v>0.6</v>
      </c>
      <c r="AA125" s="1101" t="s">
        <v>499</v>
      </c>
      <c r="AB125" s="1101" t="s">
        <v>500</v>
      </c>
      <c r="AC125" s="1101" t="s">
        <v>501</v>
      </c>
      <c r="AD125" s="1048" t="s">
        <v>491</v>
      </c>
      <c r="AE125" s="1048" t="s">
        <v>491</v>
      </c>
      <c r="AF125" s="916" t="s">
        <v>492</v>
      </c>
      <c r="AG125" s="1092"/>
      <c r="AH125" s="1093" t="s">
        <v>224</v>
      </c>
      <c r="AI125" s="1063"/>
      <c r="AJ125" s="1063"/>
      <c r="AN125" s="295"/>
    </row>
    <row r="126" spans="2:40" ht="12.75" customHeight="1" x14ac:dyDescent="0.3">
      <c r="C126" s="114"/>
      <c r="D126" s="367"/>
      <c r="E126" s="367"/>
      <c r="F126" s="367"/>
      <c r="G126" s="367"/>
      <c r="H126" s="367"/>
      <c r="I126" s="367"/>
      <c r="J126" s="367"/>
      <c r="K126" s="365"/>
      <c r="L126" s="367"/>
      <c r="M126" s="367"/>
      <c r="N126" s="367"/>
      <c r="O126" s="367"/>
      <c r="P126" s="367"/>
      <c r="Q126" s="365"/>
      <c r="R126" s="773"/>
      <c r="S126" s="368"/>
      <c r="T126" s="779"/>
      <c r="U126" s="113"/>
      <c r="V126" s="1063"/>
      <c r="W126" s="1063"/>
      <c r="Y126" s="915"/>
      <c r="Z126" s="1064"/>
      <c r="AA126" s="1094"/>
      <c r="AB126" s="1094"/>
      <c r="AC126" s="1094"/>
      <c r="AE126" s="1063"/>
      <c r="AF126" s="1063"/>
      <c r="AG126" s="1092"/>
      <c r="AH126" s="1093"/>
      <c r="AK126" s="8"/>
      <c r="AL126" s="8"/>
      <c r="AN126" s="291"/>
    </row>
    <row r="127" spans="2:40" ht="12.75" customHeight="1" x14ac:dyDescent="0.3">
      <c r="C127" s="114"/>
      <c r="D127" s="353" t="str">
        <f>IF(dir!D105=0,"",dir!D105)</f>
        <v/>
      </c>
      <c r="E127" s="388" t="str">
        <f>IF(dir!E105=0,"-",dir!E105)</f>
        <v>nn</v>
      </c>
      <c r="F127" s="105" t="str">
        <f>IF(dir!F105="","",dir!F105+1)</f>
        <v/>
      </c>
      <c r="G127" s="354" t="str">
        <f>IF(dir!G105="","",dir!G105)</f>
        <v/>
      </c>
      <c r="H127" s="389" t="str">
        <f t="shared" ref="H127:H136" si="88">IF(H105=0,"",H105)</f>
        <v>D11</v>
      </c>
      <c r="I127" s="355">
        <f>IF(J127="","",(IF(dir!I105+1&gt;LOOKUP(H127,schaal2019,regels2019),dir!I105,dir!I105+1)))</f>
        <v>8</v>
      </c>
      <c r="J127" s="356">
        <f>IF(dir!J105="","",dir!J105)</f>
        <v>1</v>
      </c>
      <c r="K127" s="370"/>
      <c r="L127" s="1061">
        <f>IF(dir!L105="","",dir!L105)</f>
        <v>130</v>
      </c>
      <c r="M127" s="1061">
        <f>IF(dir!M105="","",dir!M105)</f>
        <v>170</v>
      </c>
      <c r="N127" s="1051">
        <f t="shared" ref="N127:N136" si="89">IF(J127="","",IF((J127*40)&gt;40,40,((J127*40))))</f>
        <v>40</v>
      </c>
      <c r="O127" s="1051"/>
      <c r="P127" s="1125">
        <f t="shared" ref="P127:P136" si="90">IF(J127="","",(SUM(L127:O127)))</f>
        <v>340</v>
      </c>
      <c r="Q127" s="472"/>
      <c r="R127" s="923">
        <f>IF(J127="","",(((1659*J127)-P127)*AB127))</f>
        <v>65014.058589511755</v>
      </c>
      <c r="S127" s="923">
        <f t="shared" ref="S127:S136" si="91">IF(J127="","",(P127*AC127)+(AA127*AD127)+((AE127*AA127*(1-AF127))))</f>
        <v>12137.764918625679</v>
      </c>
      <c r="T127" s="925">
        <f t="shared" ref="T127:T136" si="92">IF(J127="","",(R127+S127))</f>
        <v>77151.82350813743</v>
      </c>
      <c r="U127" s="236"/>
      <c r="V127" s="1103"/>
      <c r="W127" s="1103"/>
      <c r="X127" s="709"/>
      <c r="Y127" s="1095">
        <f t="shared" ref="Y127:Y136" si="93">IF(H127="","",VLOOKUP(H127,salaris2021,I127+1,FALSE))</f>
        <v>4259</v>
      </c>
      <c r="Z127" s="1094">
        <f>tab!B$50</f>
        <v>0.6</v>
      </c>
      <c r="AA127" s="1126">
        <f t="shared" ref="AA127:AA137" si="94">(Y127*12/1659)</f>
        <v>30.806509945750452</v>
      </c>
      <c r="AB127" s="1126">
        <f t="shared" ref="AB127:AB136" si="95">(Y127*12*(1+Z127))/1659</f>
        <v>49.290415913200725</v>
      </c>
      <c r="AC127" s="1126">
        <f t="shared" ref="AC127:AC136" si="96">AB127-AA127</f>
        <v>18.483905967450273</v>
      </c>
      <c r="AD127" s="1128">
        <f t="shared" ref="AD127:AD136" si="97">(N127+O127)</f>
        <v>40</v>
      </c>
      <c r="AE127" s="1128">
        <f t="shared" ref="AE127:AE136" si="98">(L127+M127)</f>
        <v>300</v>
      </c>
      <c r="AF127" s="1096">
        <f>IF(H127&gt;8,tab!$B$51,tab!$B$54)</f>
        <v>0.5</v>
      </c>
      <c r="AG127" s="1097">
        <f t="shared" ref="AG127:AG136" si="99">IF(F127&lt;25,0,IF(F127=25,25,IF(F127&lt;40,0,IF(F127=40,40,IF(F127&gt;=40,0)))))</f>
        <v>0</v>
      </c>
      <c r="AH127" s="1093">
        <f t="shared" ref="AH127:AH136" si="100">IF(AG127=25,(Y127*1.08*(J127)/2),IF(AG127=40,(Y127*1.08*(J127)),IF(AG127=0,0)))</f>
        <v>0</v>
      </c>
      <c r="AI127" s="1102"/>
    </row>
    <row r="128" spans="2:40" ht="12.75" customHeight="1" x14ac:dyDescent="0.3">
      <c r="C128" s="114"/>
      <c r="D128" s="353" t="str">
        <f>IF(dir!D106=0,"",dir!D106)</f>
        <v/>
      </c>
      <c r="E128" s="388" t="str">
        <f>IF(dir!E106=0,"-",dir!E106)</f>
        <v/>
      </c>
      <c r="F128" s="105" t="str">
        <f>IF(dir!F106="","",dir!F106+1)</f>
        <v/>
      </c>
      <c r="G128" s="354" t="str">
        <f>IF(dir!G106="","",dir!G106)</f>
        <v/>
      </c>
      <c r="H128" s="389" t="str">
        <f t="shared" si="88"/>
        <v/>
      </c>
      <c r="I128" s="355" t="str">
        <f>IF(J128="","",(IF(dir!I106+1&gt;LOOKUP(H128,schaal2019,regels2019),dir!I106,dir!I106+1)))</f>
        <v/>
      </c>
      <c r="J128" s="356" t="str">
        <f>IF(dir!J106="","",dir!J106)</f>
        <v/>
      </c>
      <c r="K128" s="370"/>
      <c r="L128" s="1061">
        <f>IF(dir!L106="","",dir!L106)</f>
        <v>0</v>
      </c>
      <c r="M128" s="1061">
        <f>IF(dir!M106="","",dir!M106)</f>
        <v>0</v>
      </c>
      <c r="N128" s="1051" t="str">
        <f t="shared" si="89"/>
        <v/>
      </c>
      <c r="O128" s="1051"/>
      <c r="P128" s="1125" t="str">
        <f t="shared" si="90"/>
        <v/>
      </c>
      <c r="Q128" s="472"/>
      <c r="R128" s="923" t="str">
        <f t="shared" ref="R128:R136" si="101">IF(J128="","",(((1659*J128)-P128)*AB128))</f>
        <v/>
      </c>
      <c r="S128" s="923" t="str">
        <f t="shared" si="91"/>
        <v/>
      </c>
      <c r="T128" s="925" t="str">
        <f t="shared" si="92"/>
        <v/>
      </c>
      <c r="U128" s="236"/>
      <c r="V128" s="1103"/>
      <c r="W128" s="1103"/>
      <c r="X128" s="709"/>
      <c r="Y128" s="1095" t="str">
        <f t="shared" si="93"/>
        <v/>
      </c>
      <c r="Z128" s="1094">
        <f>tab!B$50</f>
        <v>0.6</v>
      </c>
      <c r="AA128" s="1126" t="e">
        <f t="shared" si="94"/>
        <v>#VALUE!</v>
      </c>
      <c r="AB128" s="1126" t="e">
        <f t="shared" si="95"/>
        <v>#VALUE!</v>
      </c>
      <c r="AC128" s="1126" t="e">
        <f t="shared" si="96"/>
        <v>#VALUE!</v>
      </c>
      <c r="AD128" s="1128" t="e">
        <f t="shared" si="97"/>
        <v>#VALUE!</v>
      </c>
      <c r="AE128" s="1128">
        <f t="shared" si="98"/>
        <v>0</v>
      </c>
      <c r="AF128" s="1096">
        <f>IF(H128&gt;8,tab!$B$51,tab!$B$54)</f>
        <v>0.5</v>
      </c>
      <c r="AG128" s="1097">
        <f t="shared" si="99"/>
        <v>0</v>
      </c>
      <c r="AH128" s="1093">
        <f t="shared" si="100"/>
        <v>0</v>
      </c>
      <c r="AI128" s="1102"/>
    </row>
    <row r="129" spans="3:38" ht="12.75" customHeight="1" x14ac:dyDescent="0.3">
      <c r="C129" s="114"/>
      <c r="D129" s="353" t="str">
        <f>IF(dir!D107=0,"",dir!D107)</f>
        <v/>
      </c>
      <c r="E129" s="388" t="str">
        <f>IF(dir!E107=0,"-",dir!E107)</f>
        <v/>
      </c>
      <c r="F129" s="105" t="str">
        <f>IF(dir!F107="","",dir!F107+1)</f>
        <v/>
      </c>
      <c r="G129" s="354" t="str">
        <f>IF(dir!G107="","",dir!G107)</f>
        <v/>
      </c>
      <c r="H129" s="389" t="str">
        <f t="shared" si="88"/>
        <v/>
      </c>
      <c r="I129" s="355" t="str">
        <f>IF(J129="","",(IF(dir!I107+1&gt;LOOKUP(H129,schaal2019,regels2019),dir!I107,dir!I107+1)))</f>
        <v/>
      </c>
      <c r="J129" s="356" t="str">
        <f>IF(dir!J107="","",dir!J107)</f>
        <v/>
      </c>
      <c r="K129" s="370"/>
      <c r="L129" s="1061">
        <f>IF(dir!L107="","",dir!L107)</f>
        <v>0</v>
      </c>
      <c r="M129" s="1061">
        <f>IF(dir!M107="","",dir!M107)</f>
        <v>0</v>
      </c>
      <c r="N129" s="1051" t="str">
        <f t="shared" si="89"/>
        <v/>
      </c>
      <c r="O129" s="1051"/>
      <c r="P129" s="1125" t="str">
        <f t="shared" si="90"/>
        <v/>
      </c>
      <c r="Q129" s="472"/>
      <c r="R129" s="923" t="str">
        <f t="shared" si="101"/>
        <v/>
      </c>
      <c r="S129" s="923" t="str">
        <f t="shared" si="91"/>
        <v/>
      </c>
      <c r="T129" s="925" t="str">
        <f t="shared" si="92"/>
        <v/>
      </c>
      <c r="U129" s="236"/>
      <c r="V129" s="1103"/>
      <c r="W129" s="1103"/>
      <c r="X129" s="709"/>
      <c r="Y129" s="1095" t="str">
        <f t="shared" si="93"/>
        <v/>
      </c>
      <c r="Z129" s="1094">
        <f>tab!B$50</f>
        <v>0.6</v>
      </c>
      <c r="AA129" s="1126" t="e">
        <f t="shared" si="94"/>
        <v>#VALUE!</v>
      </c>
      <c r="AB129" s="1126" t="e">
        <f t="shared" si="95"/>
        <v>#VALUE!</v>
      </c>
      <c r="AC129" s="1126" t="e">
        <f t="shared" si="96"/>
        <v>#VALUE!</v>
      </c>
      <c r="AD129" s="1128" t="e">
        <f t="shared" si="97"/>
        <v>#VALUE!</v>
      </c>
      <c r="AE129" s="1128">
        <f t="shared" si="98"/>
        <v>0</v>
      </c>
      <c r="AF129" s="1096">
        <f>IF(H129&gt;8,tab!$B$51,tab!$B$54)</f>
        <v>0.5</v>
      </c>
      <c r="AG129" s="1097">
        <f t="shared" si="99"/>
        <v>0</v>
      </c>
      <c r="AH129" s="1093">
        <f t="shared" si="100"/>
        <v>0</v>
      </c>
      <c r="AI129" s="1102"/>
    </row>
    <row r="130" spans="3:38" ht="12.75" customHeight="1" x14ac:dyDescent="0.3">
      <c r="C130" s="114"/>
      <c r="D130" s="353" t="str">
        <f>IF(dir!D108=0,"",dir!D108)</f>
        <v/>
      </c>
      <c r="E130" s="388" t="str">
        <f>IF(dir!E108=0,"-",dir!E108)</f>
        <v/>
      </c>
      <c r="F130" s="105" t="str">
        <f>IF(dir!F108="","",dir!F108+1)</f>
        <v/>
      </c>
      <c r="G130" s="354" t="str">
        <f>IF(dir!G108="","",dir!G108)</f>
        <v/>
      </c>
      <c r="H130" s="389" t="str">
        <f t="shared" si="88"/>
        <v/>
      </c>
      <c r="I130" s="355" t="str">
        <f>IF(J130="","",(IF(dir!I108+1&gt;LOOKUP(H130,schaal2019,regels2019),dir!I108,dir!I108+1)))</f>
        <v/>
      </c>
      <c r="J130" s="356" t="str">
        <f>IF(dir!J108="","",dir!J108)</f>
        <v/>
      </c>
      <c r="K130" s="370"/>
      <c r="L130" s="1061">
        <f>IF(dir!L108="","",dir!L108)</f>
        <v>0</v>
      </c>
      <c r="M130" s="1061">
        <f>IF(dir!M108="","",dir!M108)</f>
        <v>0</v>
      </c>
      <c r="N130" s="1051" t="str">
        <f t="shared" si="89"/>
        <v/>
      </c>
      <c r="O130" s="1051"/>
      <c r="P130" s="1125" t="str">
        <f t="shared" si="90"/>
        <v/>
      </c>
      <c r="Q130" s="472"/>
      <c r="R130" s="923" t="str">
        <f t="shared" si="101"/>
        <v/>
      </c>
      <c r="S130" s="923" t="str">
        <f t="shared" si="91"/>
        <v/>
      </c>
      <c r="T130" s="925" t="str">
        <f t="shared" si="92"/>
        <v/>
      </c>
      <c r="U130" s="236"/>
      <c r="V130" s="1103"/>
      <c r="W130" s="1103"/>
      <c r="X130" s="709"/>
      <c r="Y130" s="1095" t="str">
        <f t="shared" si="93"/>
        <v/>
      </c>
      <c r="Z130" s="1094">
        <f>tab!B$50</f>
        <v>0.6</v>
      </c>
      <c r="AA130" s="1126" t="e">
        <f t="shared" si="94"/>
        <v>#VALUE!</v>
      </c>
      <c r="AB130" s="1126" t="e">
        <f t="shared" si="95"/>
        <v>#VALUE!</v>
      </c>
      <c r="AC130" s="1126" t="e">
        <f t="shared" si="96"/>
        <v>#VALUE!</v>
      </c>
      <c r="AD130" s="1128" t="e">
        <f t="shared" si="97"/>
        <v>#VALUE!</v>
      </c>
      <c r="AE130" s="1128">
        <f t="shared" si="98"/>
        <v>0</v>
      </c>
      <c r="AF130" s="1096">
        <f>IF(H130&gt;8,tab!$B$51,tab!$B$54)</f>
        <v>0.5</v>
      </c>
      <c r="AG130" s="1097">
        <f t="shared" si="99"/>
        <v>0</v>
      </c>
      <c r="AH130" s="1093">
        <f t="shared" si="100"/>
        <v>0</v>
      </c>
      <c r="AI130" s="1102"/>
    </row>
    <row r="131" spans="3:38" ht="12.75" customHeight="1" x14ac:dyDescent="0.3">
      <c r="C131" s="114"/>
      <c r="D131" s="353" t="str">
        <f>IF(dir!D109=0,"",dir!D109)</f>
        <v/>
      </c>
      <c r="E131" s="388" t="str">
        <f>IF(dir!E109=0,"-",dir!E109)</f>
        <v/>
      </c>
      <c r="F131" s="105" t="str">
        <f>IF(dir!F109="","",dir!F109+1)</f>
        <v/>
      </c>
      <c r="G131" s="354" t="str">
        <f>IF(dir!G109="","",dir!G109)</f>
        <v/>
      </c>
      <c r="H131" s="389" t="str">
        <f t="shared" si="88"/>
        <v/>
      </c>
      <c r="I131" s="355" t="str">
        <f>IF(J131="","",(IF(dir!I109+1&gt;LOOKUP(H131,schaal2019,regels2019),dir!I109,dir!I109+1)))</f>
        <v/>
      </c>
      <c r="J131" s="356" t="str">
        <f>IF(dir!J109="","",dir!J109)</f>
        <v/>
      </c>
      <c r="K131" s="370"/>
      <c r="L131" s="1061">
        <f>IF(dir!L109="","",dir!L109)</f>
        <v>0</v>
      </c>
      <c r="M131" s="1061">
        <f>IF(dir!M109="","",dir!M109)</f>
        <v>0</v>
      </c>
      <c r="N131" s="1051" t="str">
        <f t="shared" si="89"/>
        <v/>
      </c>
      <c r="O131" s="1051"/>
      <c r="P131" s="1125" t="str">
        <f t="shared" si="90"/>
        <v/>
      </c>
      <c r="Q131" s="472"/>
      <c r="R131" s="923" t="str">
        <f t="shared" si="101"/>
        <v/>
      </c>
      <c r="S131" s="923" t="str">
        <f t="shared" si="91"/>
        <v/>
      </c>
      <c r="T131" s="925" t="str">
        <f t="shared" si="92"/>
        <v/>
      </c>
      <c r="U131" s="236"/>
      <c r="V131" s="1103"/>
      <c r="W131" s="1103"/>
      <c r="X131" s="709"/>
      <c r="Y131" s="1095" t="str">
        <f t="shared" si="93"/>
        <v/>
      </c>
      <c r="Z131" s="1094">
        <f>tab!B$50</f>
        <v>0.6</v>
      </c>
      <c r="AA131" s="1126" t="e">
        <f t="shared" si="94"/>
        <v>#VALUE!</v>
      </c>
      <c r="AB131" s="1126" t="e">
        <f t="shared" si="95"/>
        <v>#VALUE!</v>
      </c>
      <c r="AC131" s="1126" t="e">
        <f t="shared" si="96"/>
        <v>#VALUE!</v>
      </c>
      <c r="AD131" s="1128" t="e">
        <f t="shared" si="97"/>
        <v>#VALUE!</v>
      </c>
      <c r="AE131" s="1128">
        <f t="shared" si="98"/>
        <v>0</v>
      </c>
      <c r="AF131" s="1096">
        <f>IF(H131&gt;8,tab!$B$51,tab!$B$54)</f>
        <v>0.5</v>
      </c>
      <c r="AG131" s="1097">
        <f t="shared" si="99"/>
        <v>0</v>
      </c>
      <c r="AH131" s="1093">
        <f t="shared" si="100"/>
        <v>0</v>
      </c>
      <c r="AI131" s="1102"/>
    </row>
    <row r="132" spans="3:38" ht="12.75" customHeight="1" x14ac:dyDescent="0.3">
      <c r="C132" s="114"/>
      <c r="D132" s="353" t="str">
        <f>IF(dir!D110=0,"",dir!D110)</f>
        <v/>
      </c>
      <c r="E132" s="388" t="str">
        <f>IF(dir!E110=0,"-",dir!E110)</f>
        <v/>
      </c>
      <c r="F132" s="105" t="str">
        <f>IF(dir!F110="","",dir!F110+1)</f>
        <v/>
      </c>
      <c r="G132" s="354" t="str">
        <f>IF(dir!G110="","",dir!G110)</f>
        <v/>
      </c>
      <c r="H132" s="389" t="str">
        <f t="shared" si="88"/>
        <v/>
      </c>
      <c r="I132" s="355" t="str">
        <f>IF(J132="","",(IF(dir!I110+1&gt;LOOKUP(H132,schaal2019,regels2019),dir!I110,dir!I110+1)))</f>
        <v/>
      </c>
      <c r="J132" s="356" t="str">
        <f>IF(dir!J110="","",dir!J110)</f>
        <v/>
      </c>
      <c r="K132" s="370"/>
      <c r="L132" s="1061">
        <f>IF(dir!L110="","",dir!L110)</f>
        <v>0</v>
      </c>
      <c r="M132" s="1061">
        <f>IF(dir!M110="","",dir!M110)</f>
        <v>0</v>
      </c>
      <c r="N132" s="1051" t="str">
        <f t="shared" si="89"/>
        <v/>
      </c>
      <c r="O132" s="1051"/>
      <c r="P132" s="1125" t="str">
        <f t="shared" si="90"/>
        <v/>
      </c>
      <c r="Q132" s="472"/>
      <c r="R132" s="923" t="str">
        <f t="shared" si="101"/>
        <v/>
      </c>
      <c r="S132" s="923" t="str">
        <f t="shared" si="91"/>
        <v/>
      </c>
      <c r="T132" s="925" t="str">
        <f t="shared" si="92"/>
        <v/>
      </c>
      <c r="U132" s="236"/>
      <c r="V132" s="1103"/>
      <c r="W132" s="1103"/>
      <c r="X132" s="709"/>
      <c r="Y132" s="1095" t="str">
        <f t="shared" si="93"/>
        <v/>
      </c>
      <c r="Z132" s="1094">
        <f>tab!B$50</f>
        <v>0.6</v>
      </c>
      <c r="AA132" s="1126" t="e">
        <f t="shared" si="94"/>
        <v>#VALUE!</v>
      </c>
      <c r="AB132" s="1126" t="e">
        <f t="shared" si="95"/>
        <v>#VALUE!</v>
      </c>
      <c r="AC132" s="1126" t="e">
        <f t="shared" si="96"/>
        <v>#VALUE!</v>
      </c>
      <c r="AD132" s="1128" t="e">
        <f t="shared" si="97"/>
        <v>#VALUE!</v>
      </c>
      <c r="AE132" s="1128">
        <f t="shared" si="98"/>
        <v>0</v>
      </c>
      <c r="AF132" s="1096">
        <f>IF(H132&gt;8,tab!$B$51,tab!$B$54)</f>
        <v>0.5</v>
      </c>
      <c r="AG132" s="1097">
        <f t="shared" si="99"/>
        <v>0</v>
      </c>
      <c r="AH132" s="1093">
        <f t="shared" si="100"/>
        <v>0</v>
      </c>
      <c r="AI132" s="1102"/>
    </row>
    <row r="133" spans="3:38" ht="12.75" customHeight="1" x14ac:dyDescent="0.3">
      <c r="C133" s="114"/>
      <c r="D133" s="353" t="str">
        <f>IF(dir!D111=0,"",dir!D111)</f>
        <v/>
      </c>
      <c r="E133" s="388" t="str">
        <f>IF(dir!E111=0,"-",dir!E111)</f>
        <v/>
      </c>
      <c r="F133" s="105" t="str">
        <f>IF(dir!F111="","",dir!F111+1)</f>
        <v/>
      </c>
      <c r="G133" s="354" t="str">
        <f>IF(dir!G111="","",dir!G111)</f>
        <v/>
      </c>
      <c r="H133" s="389" t="str">
        <f t="shared" si="88"/>
        <v/>
      </c>
      <c r="I133" s="355" t="str">
        <f>IF(J133="","",(IF(dir!I111+1&gt;LOOKUP(H133,schaal2019,regels2019),dir!I111,dir!I111+1)))</f>
        <v/>
      </c>
      <c r="J133" s="356" t="str">
        <f>IF(dir!J111="","",dir!J111)</f>
        <v/>
      </c>
      <c r="K133" s="370"/>
      <c r="L133" s="1061">
        <f>IF(dir!L111="","",dir!L111)</f>
        <v>0</v>
      </c>
      <c r="M133" s="1061">
        <f>IF(dir!M111="","",dir!M111)</f>
        <v>0</v>
      </c>
      <c r="N133" s="1051" t="str">
        <f t="shared" si="89"/>
        <v/>
      </c>
      <c r="O133" s="1051"/>
      <c r="P133" s="1125" t="str">
        <f t="shared" si="90"/>
        <v/>
      </c>
      <c r="Q133" s="472"/>
      <c r="R133" s="923" t="str">
        <f t="shared" si="101"/>
        <v/>
      </c>
      <c r="S133" s="923" t="str">
        <f t="shared" si="91"/>
        <v/>
      </c>
      <c r="T133" s="925" t="str">
        <f t="shared" si="92"/>
        <v/>
      </c>
      <c r="U133" s="236"/>
      <c r="V133" s="1103"/>
      <c r="W133" s="1103"/>
      <c r="X133" s="709"/>
      <c r="Y133" s="1095" t="str">
        <f t="shared" si="93"/>
        <v/>
      </c>
      <c r="Z133" s="1094">
        <f>tab!B$50</f>
        <v>0.6</v>
      </c>
      <c r="AA133" s="1126" t="e">
        <f t="shared" si="94"/>
        <v>#VALUE!</v>
      </c>
      <c r="AB133" s="1126" t="e">
        <f t="shared" si="95"/>
        <v>#VALUE!</v>
      </c>
      <c r="AC133" s="1126" t="e">
        <f t="shared" si="96"/>
        <v>#VALUE!</v>
      </c>
      <c r="AD133" s="1128" t="e">
        <f t="shared" si="97"/>
        <v>#VALUE!</v>
      </c>
      <c r="AE133" s="1128">
        <f t="shared" si="98"/>
        <v>0</v>
      </c>
      <c r="AF133" s="1096">
        <f>IF(H133&gt;8,tab!$B$51,tab!$B$54)</f>
        <v>0.5</v>
      </c>
      <c r="AG133" s="1097">
        <f t="shared" si="99"/>
        <v>0</v>
      </c>
      <c r="AH133" s="1093">
        <f t="shared" si="100"/>
        <v>0</v>
      </c>
      <c r="AI133" s="1102"/>
    </row>
    <row r="134" spans="3:38" ht="12.75" customHeight="1" x14ac:dyDescent="0.3">
      <c r="C134" s="114"/>
      <c r="D134" s="353" t="str">
        <f>IF(dir!D112=0,"",dir!D112)</f>
        <v/>
      </c>
      <c r="E134" s="388" t="str">
        <f>IF(dir!E112=0,"-",dir!E112)</f>
        <v/>
      </c>
      <c r="F134" s="105" t="str">
        <f>IF(dir!F112="","",dir!F112+1)</f>
        <v/>
      </c>
      <c r="G134" s="354" t="str">
        <f>IF(dir!G112="","",dir!G112)</f>
        <v/>
      </c>
      <c r="H134" s="389" t="str">
        <f t="shared" si="88"/>
        <v/>
      </c>
      <c r="I134" s="355" t="str">
        <f>IF(J134="","",(IF(dir!I112+1&gt;LOOKUP(H134,schaal2019,regels2019),dir!I112,dir!I112+1)))</f>
        <v/>
      </c>
      <c r="J134" s="356" t="str">
        <f>IF(dir!J112="","",dir!J112)</f>
        <v/>
      </c>
      <c r="K134" s="370"/>
      <c r="L134" s="1061">
        <f>IF(dir!L112="","",dir!L112)</f>
        <v>0</v>
      </c>
      <c r="M134" s="1061">
        <f>IF(dir!M112="","",dir!M112)</f>
        <v>0</v>
      </c>
      <c r="N134" s="1051" t="str">
        <f t="shared" si="89"/>
        <v/>
      </c>
      <c r="O134" s="1051"/>
      <c r="P134" s="1125" t="str">
        <f t="shared" si="90"/>
        <v/>
      </c>
      <c r="Q134" s="472"/>
      <c r="R134" s="923" t="str">
        <f t="shared" si="101"/>
        <v/>
      </c>
      <c r="S134" s="923" t="str">
        <f t="shared" si="91"/>
        <v/>
      </c>
      <c r="T134" s="925" t="str">
        <f t="shared" si="92"/>
        <v/>
      </c>
      <c r="U134" s="236"/>
      <c r="V134" s="1103"/>
      <c r="W134" s="1103"/>
      <c r="X134" s="709"/>
      <c r="Y134" s="1095" t="str">
        <f t="shared" si="93"/>
        <v/>
      </c>
      <c r="Z134" s="1094">
        <f>tab!B$50</f>
        <v>0.6</v>
      </c>
      <c r="AA134" s="1126" t="e">
        <f t="shared" si="94"/>
        <v>#VALUE!</v>
      </c>
      <c r="AB134" s="1126" t="e">
        <f t="shared" si="95"/>
        <v>#VALUE!</v>
      </c>
      <c r="AC134" s="1126" t="e">
        <f t="shared" si="96"/>
        <v>#VALUE!</v>
      </c>
      <c r="AD134" s="1128" t="e">
        <f t="shared" si="97"/>
        <v>#VALUE!</v>
      </c>
      <c r="AE134" s="1128">
        <f t="shared" si="98"/>
        <v>0</v>
      </c>
      <c r="AF134" s="1096">
        <f>IF(H134&gt;8,tab!$B$51,tab!$B$54)</f>
        <v>0.5</v>
      </c>
      <c r="AG134" s="1097">
        <f t="shared" si="99"/>
        <v>0</v>
      </c>
      <c r="AH134" s="1093">
        <f t="shared" si="100"/>
        <v>0</v>
      </c>
      <c r="AI134" s="1102"/>
    </row>
    <row r="135" spans="3:38" ht="12.75" customHeight="1" x14ac:dyDescent="0.3">
      <c r="C135" s="114"/>
      <c r="D135" s="353" t="str">
        <f>IF(dir!D113=0,"",dir!D113)</f>
        <v/>
      </c>
      <c r="E135" s="388" t="str">
        <f>IF(dir!E113=0,"-",dir!E113)</f>
        <v/>
      </c>
      <c r="F135" s="105" t="str">
        <f>IF(dir!F113="","",dir!F113+1)</f>
        <v/>
      </c>
      <c r="G135" s="354" t="str">
        <f>IF(dir!G113="","",dir!G113)</f>
        <v/>
      </c>
      <c r="H135" s="389" t="str">
        <f t="shared" si="88"/>
        <v/>
      </c>
      <c r="I135" s="355" t="str">
        <f>IF(J135="","",(IF(dir!I113+1&gt;LOOKUP(H135,schaal2019,regels2019),dir!I113,dir!I113+1)))</f>
        <v/>
      </c>
      <c r="J135" s="356" t="str">
        <f>IF(dir!J113="","",dir!J113)</f>
        <v/>
      </c>
      <c r="K135" s="370"/>
      <c r="L135" s="1061">
        <f>IF(dir!L113="","",dir!L113)</f>
        <v>0</v>
      </c>
      <c r="M135" s="1061">
        <f>IF(dir!M113="","",dir!M113)</f>
        <v>0</v>
      </c>
      <c r="N135" s="1051" t="str">
        <f t="shared" si="89"/>
        <v/>
      </c>
      <c r="O135" s="1051"/>
      <c r="P135" s="1125" t="str">
        <f t="shared" si="90"/>
        <v/>
      </c>
      <c r="Q135" s="472"/>
      <c r="R135" s="923" t="str">
        <f t="shared" si="101"/>
        <v/>
      </c>
      <c r="S135" s="923" t="str">
        <f t="shared" si="91"/>
        <v/>
      </c>
      <c r="T135" s="925" t="str">
        <f t="shared" si="92"/>
        <v/>
      </c>
      <c r="U135" s="236"/>
      <c r="V135" s="1103"/>
      <c r="W135" s="1103"/>
      <c r="X135" s="709"/>
      <c r="Y135" s="1095" t="str">
        <f t="shared" si="93"/>
        <v/>
      </c>
      <c r="Z135" s="1094">
        <f>tab!B$50</f>
        <v>0.6</v>
      </c>
      <c r="AA135" s="1126" t="e">
        <f t="shared" si="94"/>
        <v>#VALUE!</v>
      </c>
      <c r="AB135" s="1126" t="e">
        <f t="shared" si="95"/>
        <v>#VALUE!</v>
      </c>
      <c r="AC135" s="1126" t="e">
        <f t="shared" si="96"/>
        <v>#VALUE!</v>
      </c>
      <c r="AD135" s="1128" t="e">
        <f t="shared" si="97"/>
        <v>#VALUE!</v>
      </c>
      <c r="AE135" s="1128">
        <f t="shared" si="98"/>
        <v>0</v>
      </c>
      <c r="AF135" s="1096">
        <f>IF(H135&gt;8,tab!$B$51,tab!$B$54)</f>
        <v>0.5</v>
      </c>
      <c r="AG135" s="1097">
        <f t="shared" si="99"/>
        <v>0</v>
      </c>
      <c r="AH135" s="1093">
        <f t="shared" si="100"/>
        <v>0</v>
      </c>
      <c r="AI135" s="1102"/>
    </row>
    <row r="136" spans="3:38" ht="12.75" customHeight="1" x14ac:dyDescent="0.3">
      <c r="C136" s="114"/>
      <c r="D136" s="353" t="str">
        <f>IF(dir!D114=0,"",dir!D114)</f>
        <v/>
      </c>
      <c r="E136" s="388" t="str">
        <f>IF(dir!E114=0,"-",dir!E114)</f>
        <v/>
      </c>
      <c r="F136" s="105" t="str">
        <f>IF(dir!F114="","",dir!F114+1)</f>
        <v/>
      </c>
      <c r="G136" s="354" t="str">
        <f>IF(dir!G114="","",dir!G114)</f>
        <v/>
      </c>
      <c r="H136" s="389" t="str">
        <f t="shared" si="88"/>
        <v/>
      </c>
      <c r="I136" s="355" t="str">
        <f>IF(J136="","",(IF(dir!I114+1&gt;LOOKUP(H136,schaal2019,regels2019),dir!I114,dir!I114+1)))</f>
        <v/>
      </c>
      <c r="J136" s="356" t="str">
        <f>IF(dir!J114="","",dir!J114)</f>
        <v/>
      </c>
      <c r="K136" s="370"/>
      <c r="L136" s="1061">
        <f>IF(dir!L114="","",dir!L114)</f>
        <v>0</v>
      </c>
      <c r="M136" s="1061">
        <f>IF(dir!M114="","",dir!M114)</f>
        <v>0</v>
      </c>
      <c r="N136" s="1051" t="str">
        <f t="shared" si="89"/>
        <v/>
      </c>
      <c r="O136" s="1051"/>
      <c r="P136" s="1125" t="str">
        <f t="shared" si="90"/>
        <v/>
      </c>
      <c r="Q136" s="472"/>
      <c r="R136" s="923" t="str">
        <f t="shared" si="101"/>
        <v/>
      </c>
      <c r="S136" s="923" t="str">
        <f t="shared" si="91"/>
        <v/>
      </c>
      <c r="T136" s="925" t="str">
        <f t="shared" si="92"/>
        <v/>
      </c>
      <c r="U136" s="236"/>
      <c r="V136" s="1103"/>
      <c r="W136" s="1103"/>
      <c r="X136" s="709"/>
      <c r="Y136" s="1095" t="str">
        <f t="shared" si="93"/>
        <v/>
      </c>
      <c r="Z136" s="1094">
        <f>tab!B$50</f>
        <v>0.6</v>
      </c>
      <c r="AA136" s="1126" t="e">
        <f t="shared" si="94"/>
        <v>#VALUE!</v>
      </c>
      <c r="AB136" s="1126" t="e">
        <f t="shared" si="95"/>
        <v>#VALUE!</v>
      </c>
      <c r="AC136" s="1126" t="e">
        <f t="shared" si="96"/>
        <v>#VALUE!</v>
      </c>
      <c r="AD136" s="1128" t="e">
        <f t="shared" si="97"/>
        <v>#VALUE!</v>
      </c>
      <c r="AE136" s="1128">
        <f t="shared" si="98"/>
        <v>0</v>
      </c>
      <c r="AF136" s="1096">
        <f>IF(H136&gt;8,tab!$B$51,tab!$B$54)</f>
        <v>0.5</v>
      </c>
      <c r="AG136" s="1097">
        <f t="shared" si="99"/>
        <v>0</v>
      </c>
      <c r="AH136" s="1093">
        <f t="shared" si="100"/>
        <v>0</v>
      </c>
      <c r="AI136" s="1102"/>
    </row>
    <row r="137" spans="3:38" ht="12.75" customHeight="1" x14ac:dyDescent="0.3">
      <c r="C137" s="114"/>
      <c r="D137" s="166"/>
      <c r="E137" s="212"/>
      <c r="F137" s="372"/>
      <c r="G137" s="373"/>
      <c r="H137" s="1270"/>
      <c r="I137" s="116"/>
      <c r="J137" s="919">
        <f>SUM(J127:J136)</f>
        <v>1</v>
      </c>
      <c r="K137" s="372"/>
      <c r="L137" s="1039">
        <f t="shared" ref="L137:M137" si="102">SUM(L127:L136)</f>
        <v>130</v>
      </c>
      <c r="M137" s="1039">
        <f t="shared" si="102"/>
        <v>170</v>
      </c>
      <c r="N137" s="1039">
        <f>SUM(N127:N136)</f>
        <v>40</v>
      </c>
      <c r="O137" s="1039"/>
      <c r="P137" s="1039">
        <f t="shared" ref="P137" si="103">SUM(P127:P136)</f>
        <v>340</v>
      </c>
      <c r="Q137" s="372"/>
      <c r="R137" s="920">
        <f t="shared" ref="R137:T137" si="104">SUM(R127:R136)</f>
        <v>65014.058589511755</v>
      </c>
      <c r="S137" s="921">
        <f t="shared" si="104"/>
        <v>12137.764918625679</v>
      </c>
      <c r="T137" s="920">
        <f t="shared" si="104"/>
        <v>77151.82350813743</v>
      </c>
      <c r="U137" s="371"/>
      <c r="V137" s="1063"/>
      <c r="W137" s="1063"/>
      <c r="Y137" s="1098">
        <f>SUM(Y127:Y136)</f>
        <v>4259</v>
      </c>
      <c r="Z137" s="1130"/>
      <c r="AA137" s="1098">
        <f t="shared" si="94"/>
        <v>30.806509945750452</v>
      </c>
      <c r="AB137" s="1098"/>
      <c r="AC137" s="1098"/>
      <c r="AG137" s="1099"/>
      <c r="AH137" s="1100"/>
      <c r="AI137" s="1102"/>
    </row>
    <row r="138" spans="3:38" ht="12.75" customHeight="1" x14ac:dyDescent="0.3">
      <c r="C138" s="169"/>
      <c r="D138" s="374"/>
      <c r="E138" s="250"/>
      <c r="F138" s="170"/>
      <c r="G138" s="375"/>
      <c r="H138" s="1270"/>
      <c r="I138" s="376"/>
      <c r="J138" s="377"/>
      <c r="K138" s="250"/>
      <c r="L138" s="376"/>
      <c r="M138" s="376"/>
      <c r="N138" s="376"/>
      <c r="O138" s="376"/>
      <c r="P138" s="376"/>
      <c r="Q138" s="250"/>
      <c r="R138" s="394"/>
      <c r="S138" s="379"/>
      <c r="T138" s="780"/>
      <c r="U138" s="380"/>
      <c r="V138" s="1063"/>
      <c r="W138" s="1063"/>
      <c r="Y138" s="1079"/>
      <c r="Z138" s="1130"/>
      <c r="AA138" s="1098"/>
      <c r="AB138" s="1098"/>
      <c r="AC138" s="1098"/>
      <c r="AG138" s="1099"/>
      <c r="AH138" s="1100"/>
      <c r="AI138" s="1102"/>
    </row>
    <row r="139" spans="3:38" ht="12.75" customHeight="1" x14ac:dyDescent="0.3">
      <c r="H139" s="1270"/>
      <c r="J139" s="292"/>
      <c r="R139" s="397"/>
      <c r="S139" s="154"/>
      <c r="T139" s="782"/>
      <c r="V139" s="1063"/>
      <c r="W139" s="1063"/>
      <c r="Y139" s="1095"/>
      <c r="Z139" s="1103"/>
      <c r="AA139" s="1103"/>
      <c r="AB139" s="1103"/>
      <c r="AC139" s="1103"/>
      <c r="AG139" s="1097"/>
      <c r="AH139" s="1093"/>
    </row>
    <row r="140" spans="3:38" ht="12.75" customHeight="1" x14ac:dyDescent="0.3">
      <c r="H140" s="1270"/>
      <c r="J140" s="292"/>
      <c r="R140" s="397"/>
      <c r="S140" s="154"/>
      <c r="T140" s="782"/>
      <c r="V140" s="1063"/>
      <c r="W140" s="1063"/>
      <c r="Y140" s="1095"/>
      <c r="Z140" s="1103"/>
      <c r="AA140" s="1103"/>
      <c r="AB140" s="1103"/>
      <c r="AC140" s="1103"/>
      <c r="AG140" s="1097"/>
      <c r="AH140" s="1093"/>
    </row>
    <row r="141" spans="3:38" ht="12.75" customHeight="1" x14ac:dyDescent="0.3">
      <c r="C141" s="8" t="s">
        <v>180</v>
      </c>
      <c r="E141" s="238" t="str">
        <f>tab!G2</f>
        <v>2025/26</v>
      </c>
      <c r="H141" s="1270"/>
      <c r="J141" s="292"/>
      <c r="R141" s="397"/>
      <c r="S141" s="154"/>
      <c r="T141" s="782"/>
      <c r="V141" s="1063"/>
      <c r="W141" s="1063"/>
      <c r="Y141" s="1095"/>
      <c r="Z141" s="1103"/>
      <c r="AA141" s="1103"/>
      <c r="AB141" s="1103"/>
      <c r="AC141" s="1103"/>
      <c r="AG141" s="1097"/>
      <c r="AH141" s="1093"/>
    </row>
    <row r="142" spans="3:38" ht="12.75" customHeight="1" x14ac:dyDescent="0.3">
      <c r="C142" s="15" t="s">
        <v>193</v>
      </c>
      <c r="E142" s="1269">
        <f>tab!H3</f>
        <v>45931</v>
      </c>
      <c r="H142" s="1270"/>
      <c r="J142" s="292"/>
      <c r="R142" s="397"/>
      <c r="S142" s="154"/>
      <c r="T142" s="782"/>
      <c r="V142" s="1063"/>
      <c r="W142" s="1063"/>
      <c r="Y142" s="1095"/>
      <c r="Z142" s="1103"/>
      <c r="AA142" s="1103"/>
      <c r="AB142" s="1103"/>
      <c r="AC142" s="1103"/>
      <c r="AG142" s="1097"/>
      <c r="AH142" s="1093"/>
    </row>
    <row r="143" spans="3:38" ht="12.75" customHeight="1" x14ac:dyDescent="0.3">
      <c r="H143" s="1270"/>
      <c r="J143" s="292"/>
      <c r="R143" s="397"/>
      <c r="S143" s="154"/>
      <c r="T143" s="782"/>
      <c r="V143" s="1063"/>
      <c r="W143" s="1063"/>
      <c r="Y143" s="1095"/>
      <c r="Z143" s="1103"/>
      <c r="AA143" s="1103"/>
      <c r="AB143" s="1103"/>
      <c r="AC143" s="1103"/>
      <c r="AG143" s="1097"/>
      <c r="AH143" s="1093"/>
    </row>
    <row r="144" spans="3:38" ht="12.75" customHeight="1" x14ac:dyDescent="0.3">
      <c r="C144" s="163"/>
      <c r="D144" s="357"/>
      <c r="E144" s="358"/>
      <c r="F144" s="164"/>
      <c r="G144" s="360"/>
      <c r="H144" s="1270"/>
      <c r="I144" s="361"/>
      <c r="J144" s="362"/>
      <c r="K144" s="108"/>
      <c r="L144" s="361"/>
      <c r="M144" s="361"/>
      <c r="N144" s="361"/>
      <c r="O144" s="361"/>
      <c r="P144" s="361"/>
      <c r="Q144" s="108"/>
      <c r="R144" s="393"/>
      <c r="S144" s="363"/>
      <c r="T144" s="778"/>
      <c r="U144" s="109"/>
      <c r="V144" s="1063"/>
      <c r="W144" s="1063"/>
      <c r="AE144" s="1077"/>
      <c r="AF144" s="1078"/>
      <c r="AI144" s="1079"/>
      <c r="AJ144" s="1080"/>
      <c r="AK144" s="283"/>
      <c r="AL144" s="18"/>
    </row>
    <row r="145" spans="2:40" s="236" customFormat="1" ht="12.75" customHeight="1" x14ac:dyDescent="0.3">
      <c r="B145" s="8"/>
      <c r="C145" s="382"/>
      <c r="D145" s="1033" t="s">
        <v>284</v>
      </c>
      <c r="E145" s="1033"/>
      <c r="F145" s="1033"/>
      <c r="G145" s="1033"/>
      <c r="H145" s="1270"/>
      <c r="I145" s="1033"/>
      <c r="J145" s="1033"/>
      <c r="K145" s="1033"/>
      <c r="L145" s="1033" t="s">
        <v>502</v>
      </c>
      <c r="M145" s="1035"/>
      <c r="N145" s="1033"/>
      <c r="O145" s="1033"/>
      <c r="P145" s="1133"/>
      <c r="Q145" s="902"/>
      <c r="R145" s="1033" t="s">
        <v>503</v>
      </c>
      <c r="S145" s="1036"/>
      <c r="T145" s="1134"/>
      <c r="U145" s="1135"/>
      <c r="V145" s="1064"/>
      <c r="W145" s="1064"/>
      <c r="X145" s="384"/>
      <c r="Y145" s="1063"/>
      <c r="Z145" s="1136"/>
      <c r="AA145" s="1063"/>
      <c r="AB145" s="1063"/>
      <c r="AC145" s="1063"/>
      <c r="AD145" s="1137"/>
      <c r="AE145" s="1137"/>
      <c r="AF145" s="1066"/>
      <c r="AG145" s="1090"/>
      <c r="AH145" s="1091"/>
      <c r="AI145" s="1066"/>
      <c r="AJ145" s="1066"/>
      <c r="AM145" s="384"/>
      <c r="AN145" s="384"/>
    </row>
    <row r="146" spans="2:40" s="236" customFormat="1" ht="12.75" customHeight="1" x14ac:dyDescent="0.3">
      <c r="B146" s="8"/>
      <c r="C146" s="382"/>
      <c r="D146" s="903" t="s">
        <v>494</v>
      </c>
      <c r="E146" s="877" t="s">
        <v>181</v>
      </c>
      <c r="F146" s="904" t="s">
        <v>137</v>
      </c>
      <c r="G146" s="905" t="s">
        <v>273</v>
      </c>
      <c r="H146" s="904" t="s">
        <v>206</v>
      </c>
      <c r="I146" s="904" t="s">
        <v>225</v>
      </c>
      <c r="J146" s="906" t="s">
        <v>187</v>
      </c>
      <c r="K146" s="881"/>
      <c r="L146" s="907" t="s">
        <v>479</v>
      </c>
      <c r="M146" s="907" t="s">
        <v>480</v>
      </c>
      <c r="N146" s="907" t="s">
        <v>478</v>
      </c>
      <c r="O146" s="907" t="s">
        <v>479</v>
      </c>
      <c r="P146" s="1138" t="s">
        <v>504</v>
      </c>
      <c r="Q146" s="881"/>
      <c r="R146" s="1037" t="s">
        <v>192</v>
      </c>
      <c r="S146" s="909" t="s">
        <v>505</v>
      </c>
      <c r="T146" s="910" t="s">
        <v>192</v>
      </c>
      <c r="U146" s="1139"/>
      <c r="V146" s="1101"/>
      <c r="W146" s="1101"/>
      <c r="X146" s="386"/>
      <c r="Y146" s="915" t="s">
        <v>303</v>
      </c>
      <c r="Z146" s="1127" t="s">
        <v>497</v>
      </c>
      <c r="AA146" s="1101" t="s">
        <v>498</v>
      </c>
      <c r="AB146" s="1101" t="s">
        <v>498</v>
      </c>
      <c r="AC146" s="1101" t="s">
        <v>495</v>
      </c>
      <c r="AD146" s="1048" t="s">
        <v>488</v>
      </c>
      <c r="AE146" s="1048" t="s">
        <v>489</v>
      </c>
      <c r="AF146" s="916" t="s">
        <v>490</v>
      </c>
      <c r="AG146" s="1092" t="s">
        <v>297</v>
      </c>
      <c r="AH146" s="1091" t="s">
        <v>427</v>
      </c>
      <c r="AI146" s="1066"/>
      <c r="AJ146" s="1066"/>
      <c r="AM146" s="384"/>
      <c r="AN146" s="386"/>
    </row>
    <row r="147" spans="2:40" s="294" customFormat="1" ht="12.75" customHeight="1" x14ac:dyDescent="0.3">
      <c r="C147" s="382"/>
      <c r="D147" s="911"/>
      <c r="E147" s="877"/>
      <c r="F147" s="904" t="s">
        <v>138</v>
      </c>
      <c r="G147" s="905" t="s">
        <v>274</v>
      </c>
      <c r="H147" s="904"/>
      <c r="I147" s="904"/>
      <c r="J147" s="906" t="s">
        <v>276</v>
      </c>
      <c r="K147" s="881"/>
      <c r="L147" s="907" t="s">
        <v>482</v>
      </c>
      <c r="M147" s="907" t="s">
        <v>483</v>
      </c>
      <c r="N147" s="907" t="s">
        <v>481</v>
      </c>
      <c r="O147" s="907" t="s">
        <v>493</v>
      </c>
      <c r="P147" s="1138" t="s">
        <v>269</v>
      </c>
      <c r="Q147" s="881"/>
      <c r="R147" s="908" t="s">
        <v>506</v>
      </c>
      <c r="S147" s="909" t="s">
        <v>484</v>
      </c>
      <c r="T147" s="910" t="s">
        <v>269</v>
      </c>
      <c r="U147" s="887"/>
      <c r="V147" s="1063"/>
      <c r="W147" s="1063"/>
      <c r="X147" s="129"/>
      <c r="Y147" s="915" t="s">
        <v>197</v>
      </c>
      <c r="Z147" s="1129">
        <f>tab!B$50</f>
        <v>0.6</v>
      </c>
      <c r="AA147" s="1101" t="s">
        <v>499</v>
      </c>
      <c r="AB147" s="1101" t="s">
        <v>500</v>
      </c>
      <c r="AC147" s="1101" t="s">
        <v>501</v>
      </c>
      <c r="AD147" s="1048" t="s">
        <v>491</v>
      </c>
      <c r="AE147" s="1048" t="s">
        <v>491</v>
      </c>
      <c r="AF147" s="916" t="s">
        <v>492</v>
      </c>
      <c r="AG147" s="1092"/>
      <c r="AH147" s="1093" t="s">
        <v>224</v>
      </c>
      <c r="AI147" s="1063"/>
      <c r="AJ147" s="1063"/>
      <c r="AN147" s="295"/>
    </row>
    <row r="148" spans="2:40" ht="12.75" customHeight="1" x14ac:dyDescent="0.3">
      <c r="C148" s="114"/>
      <c r="D148" s="367"/>
      <c r="E148" s="367"/>
      <c r="F148" s="367"/>
      <c r="G148" s="367"/>
      <c r="H148" s="367"/>
      <c r="I148" s="367"/>
      <c r="J148" s="367"/>
      <c r="K148" s="365"/>
      <c r="L148" s="367"/>
      <c r="M148" s="367"/>
      <c r="N148" s="367"/>
      <c r="O148" s="367"/>
      <c r="P148" s="367"/>
      <c r="Q148" s="365"/>
      <c r="R148" s="773"/>
      <c r="S148" s="368"/>
      <c r="T148" s="779"/>
      <c r="U148" s="113"/>
      <c r="V148" s="1063"/>
      <c r="W148" s="1063"/>
      <c r="Y148" s="915"/>
      <c r="Z148" s="1064"/>
      <c r="AA148" s="1094"/>
      <c r="AB148" s="1094"/>
      <c r="AC148" s="1094"/>
      <c r="AE148" s="1063"/>
      <c r="AF148" s="1063"/>
      <c r="AG148" s="1092"/>
      <c r="AH148" s="1093"/>
      <c r="AK148" s="8"/>
      <c r="AL148" s="8"/>
      <c r="AN148" s="291"/>
    </row>
    <row r="149" spans="2:40" ht="12.75" customHeight="1" x14ac:dyDescent="0.3">
      <c r="C149" s="114"/>
      <c r="D149" s="353" t="str">
        <f>IF(dir!D127=0,"",dir!D127)</f>
        <v/>
      </c>
      <c r="E149" s="388" t="str">
        <f>IF(dir!E127=0,"-",dir!E127)</f>
        <v>nn</v>
      </c>
      <c r="F149" s="105" t="str">
        <f>IF(dir!F127="","",dir!F127+1)</f>
        <v/>
      </c>
      <c r="G149" s="354" t="str">
        <f>IF(dir!G127="","",dir!G127)</f>
        <v/>
      </c>
      <c r="H149" s="389" t="str">
        <f t="shared" ref="H149:H158" si="105">IF(H127=0,"",H127)</f>
        <v>D11</v>
      </c>
      <c r="I149" s="355">
        <f>IF(J149="","",(IF(dir!I127+1&gt;LOOKUP(H149,schaal2019,regels2019),dir!I127,dir!I127+1)))</f>
        <v>9</v>
      </c>
      <c r="J149" s="356">
        <f>IF(dir!J127="","",dir!J127)</f>
        <v>1</v>
      </c>
      <c r="K149" s="370"/>
      <c r="L149" s="1061">
        <f>IF(dir!L127="","",dir!L127)</f>
        <v>130</v>
      </c>
      <c r="M149" s="1061">
        <f>IF(dir!M127="","",dir!M127)</f>
        <v>170</v>
      </c>
      <c r="N149" s="1051">
        <f t="shared" ref="N149:N158" si="106">IF(J149="","",IF((J149*40)&gt;40,40,((J149*40))))</f>
        <v>40</v>
      </c>
      <c r="O149" s="1051"/>
      <c r="P149" s="1125">
        <f t="shared" ref="P149:P158" si="107">IF(J149="","",(SUM(L149:O149)))</f>
        <v>340</v>
      </c>
      <c r="Q149" s="472"/>
      <c r="R149" s="923">
        <f>IF(J149="","",(((1659*J149)-P149)*AB149))</f>
        <v>67044.316817359853</v>
      </c>
      <c r="S149" s="923">
        <f t="shared" ref="S149:S158" si="108">IF(J149="","",(P149*AC149)+(AA149*AD149)+((AE149*AA149*(1-AF149))))</f>
        <v>12516.802893309223</v>
      </c>
      <c r="T149" s="925">
        <f t="shared" ref="T149:T158" si="109">IF(J149="","",(R149+S149))</f>
        <v>79561.119710669082</v>
      </c>
      <c r="U149" s="236"/>
      <c r="V149" s="1103"/>
      <c r="W149" s="1103"/>
      <c r="X149" s="709"/>
      <c r="Y149" s="1095">
        <f t="shared" ref="Y149:Y158" si="110">IF(H149="","",VLOOKUP(H149,salaris2021,I149+1,FALSE))</f>
        <v>4392</v>
      </c>
      <c r="Z149" s="1094">
        <f>tab!B$50</f>
        <v>0.6</v>
      </c>
      <c r="AA149" s="1126">
        <f t="shared" ref="AA149:AA159" si="111">(Y149*12/1659)</f>
        <v>31.768535262206147</v>
      </c>
      <c r="AB149" s="1126">
        <f t="shared" ref="AB149:AB158" si="112">(Y149*12*(1+Z149))/1659</f>
        <v>50.82965641952984</v>
      </c>
      <c r="AC149" s="1126">
        <f t="shared" ref="AC149:AC158" si="113">AB149-AA149</f>
        <v>19.061121157323694</v>
      </c>
      <c r="AD149" s="1128">
        <f t="shared" ref="AD149:AD158" si="114">(N149+O149)</f>
        <v>40</v>
      </c>
      <c r="AE149" s="1128">
        <f t="shared" ref="AE149:AE158" si="115">(L149+M149)</f>
        <v>300</v>
      </c>
      <c r="AF149" s="1096">
        <f>IF(H149&gt;8,tab!$B$51,tab!$B$54)</f>
        <v>0.5</v>
      </c>
      <c r="AG149" s="1097">
        <f t="shared" ref="AG149:AG158" si="116">IF(F149&lt;25,0,IF(F149=25,25,IF(F149&lt;40,0,IF(F149=40,40,IF(F149&gt;=40,0)))))</f>
        <v>0</v>
      </c>
      <c r="AH149" s="1093">
        <f t="shared" ref="AH149:AH158" si="117">IF(AG149=25,(Y149*1.08*(J149)/2),IF(AG149=40,(Y149*1.08*(J149)),IF(AG149=0,0)))</f>
        <v>0</v>
      </c>
      <c r="AI149" s="1102"/>
    </row>
    <row r="150" spans="2:40" ht="12.75" customHeight="1" x14ac:dyDescent="0.3">
      <c r="C150" s="114"/>
      <c r="D150" s="353" t="str">
        <f>IF(dir!D128=0,"",dir!D128)</f>
        <v/>
      </c>
      <c r="E150" s="388" t="str">
        <f>IF(dir!E128=0,"-",dir!E128)</f>
        <v/>
      </c>
      <c r="F150" s="105" t="str">
        <f>IF(dir!F128="","",dir!F128+1)</f>
        <v/>
      </c>
      <c r="G150" s="354" t="str">
        <f>IF(dir!G128="","",dir!G128)</f>
        <v/>
      </c>
      <c r="H150" s="389" t="str">
        <f t="shared" si="105"/>
        <v/>
      </c>
      <c r="I150" s="355" t="str">
        <f>IF(J150="","",(IF(dir!I128+1&gt;LOOKUP(H150,schaal2019,regels2019),dir!I128,dir!I128+1)))</f>
        <v/>
      </c>
      <c r="J150" s="356" t="str">
        <f>IF(dir!J128="","",dir!J128)</f>
        <v/>
      </c>
      <c r="K150" s="370"/>
      <c r="L150" s="1061">
        <f>IF(dir!L128="","",dir!L128)</f>
        <v>0</v>
      </c>
      <c r="M150" s="1061">
        <f>IF(dir!M128="","",dir!M128)</f>
        <v>0</v>
      </c>
      <c r="N150" s="1051" t="str">
        <f t="shared" si="106"/>
        <v/>
      </c>
      <c r="O150" s="1051"/>
      <c r="P150" s="1125" t="str">
        <f t="shared" si="107"/>
        <v/>
      </c>
      <c r="Q150" s="472"/>
      <c r="R150" s="923" t="str">
        <f t="shared" ref="R150:R158" si="118">IF(J150="","",(((1659*J150)-P150)*AB150))</f>
        <v/>
      </c>
      <c r="S150" s="923" t="str">
        <f t="shared" si="108"/>
        <v/>
      </c>
      <c r="T150" s="925" t="str">
        <f t="shared" si="109"/>
        <v/>
      </c>
      <c r="U150" s="236"/>
      <c r="V150" s="1103"/>
      <c r="W150" s="1103"/>
      <c r="X150" s="709"/>
      <c r="Y150" s="1095" t="str">
        <f t="shared" si="110"/>
        <v/>
      </c>
      <c r="Z150" s="1094">
        <f>tab!B$50</f>
        <v>0.6</v>
      </c>
      <c r="AA150" s="1126" t="e">
        <f t="shared" si="111"/>
        <v>#VALUE!</v>
      </c>
      <c r="AB150" s="1126" t="e">
        <f t="shared" si="112"/>
        <v>#VALUE!</v>
      </c>
      <c r="AC150" s="1126" t="e">
        <f t="shared" si="113"/>
        <v>#VALUE!</v>
      </c>
      <c r="AD150" s="1128" t="e">
        <f t="shared" si="114"/>
        <v>#VALUE!</v>
      </c>
      <c r="AE150" s="1128">
        <f t="shared" si="115"/>
        <v>0</v>
      </c>
      <c r="AF150" s="1096">
        <f>IF(H150&gt;8,tab!$B$51,tab!$B$54)</f>
        <v>0.5</v>
      </c>
      <c r="AG150" s="1097">
        <f t="shared" si="116"/>
        <v>0</v>
      </c>
      <c r="AH150" s="1093">
        <f t="shared" si="117"/>
        <v>0</v>
      </c>
      <c r="AI150" s="1102"/>
    </row>
    <row r="151" spans="2:40" ht="12.75" customHeight="1" x14ac:dyDescent="0.3">
      <c r="C151" s="114"/>
      <c r="D151" s="353" t="str">
        <f>IF(dir!D129=0,"",dir!D129)</f>
        <v/>
      </c>
      <c r="E151" s="388" t="str">
        <f>IF(dir!E129=0,"-",dir!E129)</f>
        <v/>
      </c>
      <c r="F151" s="105" t="str">
        <f>IF(dir!F129="","",dir!F129+1)</f>
        <v/>
      </c>
      <c r="G151" s="354" t="str">
        <f>IF(dir!G129="","",dir!G129)</f>
        <v/>
      </c>
      <c r="H151" s="389" t="str">
        <f t="shared" si="105"/>
        <v/>
      </c>
      <c r="I151" s="355" t="str">
        <f>IF(J151="","",(IF(dir!I129+1&gt;LOOKUP(H151,schaal2019,regels2019),dir!I129,dir!I129+1)))</f>
        <v/>
      </c>
      <c r="J151" s="356" t="str">
        <f>IF(dir!J129="","",dir!J129)</f>
        <v/>
      </c>
      <c r="K151" s="370"/>
      <c r="L151" s="1061">
        <f>IF(dir!L129="","",dir!L129)</f>
        <v>0</v>
      </c>
      <c r="M151" s="1061">
        <f>IF(dir!M129="","",dir!M129)</f>
        <v>0</v>
      </c>
      <c r="N151" s="1051" t="str">
        <f t="shared" si="106"/>
        <v/>
      </c>
      <c r="O151" s="1051"/>
      <c r="P151" s="1125" t="str">
        <f t="shared" si="107"/>
        <v/>
      </c>
      <c r="Q151" s="472"/>
      <c r="R151" s="923" t="str">
        <f t="shared" si="118"/>
        <v/>
      </c>
      <c r="S151" s="923" t="str">
        <f t="shared" si="108"/>
        <v/>
      </c>
      <c r="T151" s="925" t="str">
        <f t="shared" si="109"/>
        <v/>
      </c>
      <c r="U151" s="236"/>
      <c r="V151" s="1103"/>
      <c r="W151" s="1103"/>
      <c r="X151" s="709"/>
      <c r="Y151" s="1095" t="str">
        <f t="shared" si="110"/>
        <v/>
      </c>
      <c r="Z151" s="1094">
        <f>tab!B$50</f>
        <v>0.6</v>
      </c>
      <c r="AA151" s="1126" t="e">
        <f t="shared" si="111"/>
        <v>#VALUE!</v>
      </c>
      <c r="AB151" s="1126" t="e">
        <f t="shared" si="112"/>
        <v>#VALUE!</v>
      </c>
      <c r="AC151" s="1126" t="e">
        <f t="shared" si="113"/>
        <v>#VALUE!</v>
      </c>
      <c r="AD151" s="1128" t="e">
        <f t="shared" si="114"/>
        <v>#VALUE!</v>
      </c>
      <c r="AE151" s="1128">
        <f t="shared" si="115"/>
        <v>0</v>
      </c>
      <c r="AF151" s="1096">
        <f>IF(H151&gt;8,tab!$B$51,tab!$B$54)</f>
        <v>0.5</v>
      </c>
      <c r="AG151" s="1097">
        <f t="shared" si="116"/>
        <v>0</v>
      </c>
      <c r="AH151" s="1093">
        <f t="shared" si="117"/>
        <v>0</v>
      </c>
      <c r="AI151" s="1102"/>
    </row>
    <row r="152" spans="2:40" ht="12.75" customHeight="1" x14ac:dyDescent="0.3">
      <c r="C152" s="114"/>
      <c r="D152" s="353" t="str">
        <f>IF(dir!D130=0,"",dir!D130)</f>
        <v/>
      </c>
      <c r="E152" s="388" t="str">
        <f>IF(dir!E130=0,"-",dir!E130)</f>
        <v/>
      </c>
      <c r="F152" s="105" t="str">
        <f>IF(dir!F130="","",dir!F130+1)</f>
        <v/>
      </c>
      <c r="G152" s="354" t="str">
        <f>IF(dir!G130="","",dir!G130)</f>
        <v/>
      </c>
      <c r="H152" s="389" t="str">
        <f t="shared" si="105"/>
        <v/>
      </c>
      <c r="I152" s="355" t="str">
        <f>IF(J152="","",(IF(dir!I130+1&gt;LOOKUP(H152,schaal2019,regels2019),dir!I130,dir!I130+1)))</f>
        <v/>
      </c>
      <c r="J152" s="356" t="str">
        <f>IF(dir!J130="","",dir!J130)</f>
        <v/>
      </c>
      <c r="K152" s="370"/>
      <c r="L152" s="1061">
        <f>IF(dir!L130="","",dir!L130)</f>
        <v>0</v>
      </c>
      <c r="M152" s="1061">
        <f>IF(dir!M130="","",dir!M130)</f>
        <v>0</v>
      </c>
      <c r="N152" s="1051" t="str">
        <f t="shared" si="106"/>
        <v/>
      </c>
      <c r="O152" s="1051"/>
      <c r="P152" s="1125" t="str">
        <f t="shared" si="107"/>
        <v/>
      </c>
      <c r="Q152" s="472"/>
      <c r="R152" s="923" t="str">
        <f t="shared" si="118"/>
        <v/>
      </c>
      <c r="S152" s="923" t="str">
        <f t="shared" si="108"/>
        <v/>
      </c>
      <c r="T152" s="925" t="str">
        <f t="shared" si="109"/>
        <v/>
      </c>
      <c r="U152" s="236"/>
      <c r="V152" s="1103"/>
      <c r="W152" s="1103"/>
      <c r="X152" s="709"/>
      <c r="Y152" s="1095" t="str">
        <f t="shared" si="110"/>
        <v/>
      </c>
      <c r="Z152" s="1094">
        <f>tab!B$50</f>
        <v>0.6</v>
      </c>
      <c r="AA152" s="1126" t="e">
        <f t="shared" si="111"/>
        <v>#VALUE!</v>
      </c>
      <c r="AB152" s="1126" t="e">
        <f t="shared" si="112"/>
        <v>#VALUE!</v>
      </c>
      <c r="AC152" s="1126" t="e">
        <f t="shared" si="113"/>
        <v>#VALUE!</v>
      </c>
      <c r="AD152" s="1128" t="e">
        <f t="shared" si="114"/>
        <v>#VALUE!</v>
      </c>
      <c r="AE152" s="1128">
        <f t="shared" si="115"/>
        <v>0</v>
      </c>
      <c r="AF152" s="1096">
        <f>IF(H152&gt;8,tab!$B$51,tab!$B$54)</f>
        <v>0.5</v>
      </c>
      <c r="AG152" s="1097">
        <f t="shared" si="116"/>
        <v>0</v>
      </c>
      <c r="AH152" s="1093">
        <f t="shared" si="117"/>
        <v>0</v>
      </c>
      <c r="AI152" s="1102"/>
    </row>
    <row r="153" spans="2:40" ht="12.75" customHeight="1" x14ac:dyDescent="0.3">
      <c r="C153" s="114"/>
      <c r="D153" s="353" t="str">
        <f>IF(dir!D131=0,"",dir!D131)</f>
        <v/>
      </c>
      <c r="E153" s="388" t="str">
        <f>IF(dir!E131=0,"-",dir!E131)</f>
        <v/>
      </c>
      <c r="F153" s="105" t="str">
        <f>IF(dir!F131="","",dir!F131+1)</f>
        <v/>
      </c>
      <c r="G153" s="354" t="str">
        <f>IF(dir!G131="","",dir!G131)</f>
        <v/>
      </c>
      <c r="H153" s="389" t="str">
        <f t="shared" si="105"/>
        <v/>
      </c>
      <c r="I153" s="355" t="str">
        <f>IF(J153="","",(IF(dir!I131+1&gt;LOOKUP(H153,schaal2019,regels2019),dir!I131,dir!I131+1)))</f>
        <v/>
      </c>
      <c r="J153" s="356" t="str">
        <f>IF(dir!J131="","",dir!J131)</f>
        <v/>
      </c>
      <c r="K153" s="370"/>
      <c r="L153" s="1061">
        <f>IF(dir!L131="","",dir!L131)</f>
        <v>0</v>
      </c>
      <c r="M153" s="1061">
        <f>IF(dir!M131="","",dir!M131)</f>
        <v>0</v>
      </c>
      <c r="N153" s="1051" t="str">
        <f t="shared" si="106"/>
        <v/>
      </c>
      <c r="O153" s="1051"/>
      <c r="P153" s="1125" t="str">
        <f t="shared" si="107"/>
        <v/>
      </c>
      <c r="Q153" s="472"/>
      <c r="R153" s="923" t="str">
        <f t="shared" si="118"/>
        <v/>
      </c>
      <c r="S153" s="923" t="str">
        <f t="shared" si="108"/>
        <v/>
      </c>
      <c r="T153" s="925" t="str">
        <f t="shared" si="109"/>
        <v/>
      </c>
      <c r="U153" s="236"/>
      <c r="V153" s="1103"/>
      <c r="W153" s="1103"/>
      <c r="X153" s="709"/>
      <c r="Y153" s="1095" t="str">
        <f t="shared" si="110"/>
        <v/>
      </c>
      <c r="Z153" s="1094">
        <f>tab!B$50</f>
        <v>0.6</v>
      </c>
      <c r="AA153" s="1126" t="e">
        <f t="shared" si="111"/>
        <v>#VALUE!</v>
      </c>
      <c r="AB153" s="1126" t="e">
        <f t="shared" si="112"/>
        <v>#VALUE!</v>
      </c>
      <c r="AC153" s="1126" t="e">
        <f t="shared" si="113"/>
        <v>#VALUE!</v>
      </c>
      <c r="AD153" s="1128" t="e">
        <f t="shared" si="114"/>
        <v>#VALUE!</v>
      </c>
      <c r="AE153" s="1128">
        <f t="shared" si="115"/>
        <v>0</v>
      </c>
      <c r="AF153" s="1096">
        <f>IF(H153&gt;8,tab!$B$51,tab!$B$54)</f>
        <v>0.5</v>
      </c>
      <c r="AG153" s="1097">
        <f t="shared" si="116"/>
        <v>0</v>
      </c>
      <c r="AH153" s="1093">
        <f t="shared" si="117"/>
        <v>0</v>
      </c>
      <c r="AI153" s="1102"/>
    </row>
    <row r="154" spans="2:40" ht="12.75" customHeight="1" x14ac:dyDescent="0.3">
      <c r="C154" s="114"/>
      <c r="D154" s="353" t="str">
        <f>IF(dir!D132=0,"",dir!D132)</f>
        <v/>
      </c>
      <c r="E154" s="388" t="str">
        <f>IF(dir!E132=0,"-",dir!E132)</f>
        <v/>
      </c>
      <c r="F154" s="105" t="str">
        <f>IF(dir!F132="","",dir!F132+1)</f>
        <v/>
      </c>
      <c r="G154" s="354" t="str">
        <f>IF(dir!G132="","",dir!G132)</f>
        <v/>
      </c>
      <c r="H154" s="389" t="str">
        <f t="shared" si="105"/>
        <v/>
      </c>
      <c r="I154" s="355" t="str">
        <f>IF(J154="","",(IF(dir!I132+1&gt;LOOKUP(H154,schaal2019,regels2019),dir!I132,dir!I132+1)))</f>
        <v/>
      </c>
      <c r="J154" s="356" t="str">
        <f>IF(dir!J132="","",dir!J132)</f>
        <v/>
      </c>
      <c r="K154" s="370"/>
      <c r="L154" s="1061">
        <f>IF(dir!L132="","",dir!L132)</f>
        <v>0</v>
      </c>
      <c r="M154" s="1061">
        <f>IF(dir!M132="","",dir!M132)</f>
        <v>0</v>
      </c>
      <c r="N154" s="1051" t="str">
        <f t="shared" si="106"/>
        <v/>
      </c>
      <c r="O154" s="1051"/>
      <c r="P154" s="1125" t="str">
        <f t="shared" si="107"/>
        <v/>
      </c>
      <c r="Q154" s="472"/>
      <c r="R154" s="923" t="str">
        <f t="shared" si="118"/>
        <v/>
      </c>
      <c r="S154" s="923" t="str">
        <f t="shared" si="108"/>
        <v/>
      </c>
      <c r="T154" s="925" t="str">
        <f t="shared" si="109"/>
        <v/>
      </c>
      <c r="U154" s="236"/>
      <c r="V154" s="1103"/>
      <c r="W154" s="1103"/>
      <c r="X154" s="709"/>
      <c r="Y154" s="1095" t="str">
        <f t="shared" si="110"/>
        <v/>
      </c>
      <c r="Z154" s="1094">
        <f>tab!B$50</f>
        <v>0.6</v>
      </c>
      <c r="AA154" s="1126" t="e">
        <f t="shared" si="111"/>
        <v>#VALUE!</v>
      </c>
      <c r="AB154" s="1126" t="e">
        <f t="shared" si="112"/>
        <v>#VALUE!</v>
      </c>
      <c r="AC154" s="1126" t="e">
        <f t="shared" si="113"/>
        <v>#VALUE!</v>
      </c>
      <c r="AD154" s="1128" t="e">
        <f t="shared" si="114"/>
        <v>#VALUE!</v>
      </c>
      <c r="AE154" s="1128">
        <f t="shared" si="115"/>
        <v>0</v>
      </c>
      <c r="AF154" s="1096">
        <f>IF(H154&gt;8,tab!$B$51,tab!$B$54)</f>
        <v>0.5</v>
      </c>
      <c r="AG154" s="1097">
        <f t="shared" si="116"/>
        <v>0</v>
      </c>
      <c r="AH154" s="1093">
        <f t="shared" si="117"/>
        <v>0</v>
      </c>
      <c r="AI154" s="1102"/>
    </row>
    <row r="155" spans="2:40" ht="12.75" customHeight="1" x14ac:dyDescent="0.3">
      <c r="C155" s="114"/>
      <c r="D155" s="353" t="str">
        <f>IF(dir!D133=0,"",dir!D133)</f>
        <v/>
      </c>
      <c r="E155" s="388" t="str">
        <f>IF(dir!E133=0,"-",dir!E133)</f>
        <v/>
      </c>
      <c r="F155" s="105" t="str">
        <f>IF(dir!F133="","",dir!F133+1)</f>
        <v/>
      </c>
      <c r="G155" s="354" t="str">
        <f>IF(dir!G133="","",dir!G133)</f>
        <v/>
      </c>
      <c r="H155" s="389" t="str">
        <f t="shared" si="105"/>
        <v/>
      </c>
      <c r="I155" s="355" t="str">
        <f>IF(J155="","",(IF(dir!I133+1&gt;LOOKUP(H155,schaal2019,regels2019),dir!I133,dir!I133+1)))</f>
        <v/>
      </c>
      <c r="J155" s="356" t="str">
        <f>IF(dir!J133="","",dir!J133)</f>
        <v/>
      </c>
      <c r="K155" s="370"/>
      <c r="L155" s="1061">
        <f>IF(dir!L133="","",dir!L133)</f>
        <v>0</v>
      </c>
      <c r="M155" s="1061">
        <f>IF(dir!M133="","",dir!M133)</f>
        <v>0</v>
      </c>
      <c r="N155" s="1051" t="str">
        <f t="shared" si="106"/>
        <v/>
      </c>
      <c r="O155" s="1051"/>
      <c r="P155" s="1125" t="str">
        <f t="shared" si="107"/>
        <v/>
      </c>
      <c r="Q155" s="472"/>
      <c r="R155" s="923" t="str">
        <f t="shared" si="118"/>
        <v/>
      </c>
      <c r="S155" s="923" t="str">
        <f t="shared" si="108"/>
        <v/>
      </c>
      <c r="T155" s="925" t="str">
        <f t="shared" si="109"/>
        <v/>
      </c>
      <c r="U155" s="236"/>
      <c r="V155" s="1103"/>
      <c r="W155" s="1103"/>
      <c r="X155" s="709"/>
      <c r="Y155" s="1095" t="str">
        <f t="shared" si="110"/>
        <v/>
      </c>
      <c r="Z155" s="1094">
        <f>tab!B$50</f>
        <v>0.6</v>
      </c>
      <c r="AA155" s="1126" t="e">
        <f t="shared" si="111"/>
        <v>#VALUE!</v>
      </c>
      <c r="AB155" s="1126" t="e">
        <f t="shared" si="112"/>
        <v>#VALUE!</v>
      </c>
      <c r="AC155" s="1126" t="e">
        <f t="shared" si="113"/>
        <v>#VALUE!</v>
      </c>
      <c r="AD155" s="1128" t="e">
        <f t="shared" si="114"/>
        <v>#VALUE!</v>
      </c>
      <c r="AE155" s="1128">
        <f t="shared" si="115"/>
        <v>0</v>
      </c>
      <c r="AF155" s="1096">
        <f>IF(H155&gt;8,tab!$B$51,tab!$B$54)</f>
        <v>0.5</v>
      </c>
      <c r="AG155" s="1097">
        <f t="shared" si="116"/>
        <v>0</v>
      </c>
      <c r="AH155" s="1093">
        <f t="shared" si="117"/>
        <v>0</v>
      </c>
      <c r="AI155" s="1102"/>
    </row>
    <row r="156" spans="2:40" ht="12.75" customHeight="1" x14ac:dyDescent="0.3">
      <c r="C156" s="114"/>
      <c r="D156" s="353" t="str">
        <f>IF(dir!D134=0,"",dir!D134)</f>
        <v/>
      </c>
      <c r="E156" s="388" t="str">
        <f>IF(dir!E134=0,"-",dir!E134)</f>
        <v/>
      </c>
      <c r="F156" s="105" t="str">
        <f>IF(dir!F134="","",dir!F134+1)</f>
        <v/>
      </c>
      <c r="G156" s="354" t="str">
        <f>IF(dir!G134="","",dir!G134)</f>
        <v/>
      </c>
      <c r="H156" s="389" t="str">
        <f t="shared" si="105"/>
        <v/>
      </c>
      <c r="I156" s="355" t="str">
        <f>IF(J156="","",(IF(dir!I134+1&gt;LOOKUP(H156,schaal2019,regels2019),dir!I134,dir!I134+1)))</f>
        <v/>
      </c>
      <c r="J156" s="356" t="str">
        <f>IF(dir!J134="","",dir!J134)</f>
        <v/>
      </c>
      <c r="K156" s="370"/>
      <c r="L156" s="1061">
        <f>IF(dir!L134="","",dir!L134)</f>
        <v>0</v>
      </c>
      <c r="M156" s="1061">
        <f>IF(dir!M134="","",dir!M134)</f>
        <v>0</v>
      </c>
      <c r="N156" s="1051" t="str">
        <f t="shared" si="106"/>
        <v/>
      </c>
      <c r="O156" s="1051"/>
      <c r="P156" s="1125" t="str">
        <f t="shared" si="107"/>
        <v/>
      </c>
      <c r="Q156" s="472"/>
      <c r="R156" s="923" t="str">
        <f t="shared" si="118"/>
        <v/>
      </c>
      <c r="S156" s="923" t="str">
        <f t="shared" si="108"/>
        <v/>
      </c>
      <c r="T156" s="925" t="str">
        <f t="shared" si="109"/>
        <v/>
      </c>
      <c r="U156" s="236"/>
      <c r="V156" s="1103"/>
      <c r="W156" s="1103"/>
      <c r="X156" s="709"/>
      <c r="Y156" s="1095" t="str">
        <f t="shared" si="110"/>
        <v/>
      </c>
      <c r="Z156" s="1094">
        <f>tab!B$50</f>
        <v>0.6</v>
      </c>
      <c r="AA156" s="1126" t="e">
        <f t="shared" si="111"/>
        <v>#VALUE!</v>
      </c>
      <c r="AB156" s="1126" t="e">
        <f t="shared" si="112"/>
        <v>#VALUE!</v>
      </c>
      <c r="AC156" s="1126" t="e">
        <f t="shared" si="113"/>
        <v>#VALUE!</v>
      </c>
      <c r="AD156" s="1128" t="e">
        <f t="shared" si="114"/>
        <v>#VALUE!</v>
      </c>
      <c r="AE156" s="1128">
        <f t="shared" si="115"/>
        <v>0</v>
      </c>
      <c r="AF156" s="1096">
        <f>IF(H156&gt;8,tab!$B$51,tab!$B$54)</f>
        <v>0.5</v>
      </c>
      <c r="AG156" s="1097">
        <f t="shared" si="116"/>
        <v>0</v>
      </c>
      <c r="AH156" s="1093">
        <f t="shared" si="117"/>
        <v>0</v>
      </c>
      <c r="AI156" s="1102"/>
    </row>
    <row r="157" spans="2:40" ht="12.75" customHeight="1" x14ac:dyDescent="0.3">
      <c r="C157" s="114"/>
      <c r="D157" s="353" t="str">
        <f>IF(dir!D135=0,"",dir!D135)</f>
        <v/>
      </c>
      <c r="E157" s="388" t="str">
        <f>IF(dir!E135=0,"-",dir!E135)</f>
        <v/>
      </c>
      <c r="F157" s="105" t="str">
        <f>IF(dir!F135="","",dir!F135+1)</f>
        <v/>
      </c>
      <c r="G157" s="354" t="str">
        <f>IF(dir!G135="","",dir!G135)</f>
        <v/>
      </c>
      <c r="H157" s="389" t="str">
        <f t="shared" si="105"/>
        <v/>
      </c>
      <c r="I157" s="355" t="str">
        <f>IF(J157="","",(IF(dir!I135+1&gt;LOOKUP(H157,schaal2019,regels2019),dir!I135,dir!I135+1)))</f>
        <v/>
      </c>
      <c r="J157" s="356" t="str">
        <f>IF(dir!J135="","",dir!J135)</f>
        <v/>
      </c>
      <c r="K157" s="370"/>
      <c r="L157" s="1061">
        <f>IF(dir!L135="","",dir!L135)</f>
        <v>0</v>
      </c>
      <c r="M157" s="1061">
        <f>IF(dir!M135="","",dir!M135)</f>
        <v>0</v>
      </c>
      <c r="N157" s="1051" t="str">
        <f t="shared" si="106"/>
        <v/>
      </c>
      <c r="O157" s="1051"/>
      <c r="P157" s="1125" t="str">
        <f t="shared" si="107"/>
        <v/>
      </c>
      <c r="Q157" s="472"/>
      <c r="R157" s="923" t="str">
        <f t="shared" si="118"/>
        <v/>
      </c>
      <c r="S157" s="923" t="str">
        <f t="shared" si="108"/>
        <v/>
      </c>
      <c r="T157" s="925" t="str">
        <f t="shared" si="109"/>
        <v/>
      </c>
      <c r="U157" s="236"/>
      <c r="V157" s="1103"/>
      <c r="W157" s="1103"/>
      <c r="X157" s="709"/>
      <c r="Y157" s="1095" t="str">
        <f t="shared" si="110"/>
        <v/>
      </c>
      <c r="Z157" s="1094">
        <f>tab!B$50</f>
        <v>0.6</v>
      </c>
      <c r="AA157" s="1126" t="e">
        <f t="shared" si="111"/>
        <v>#VALUE!</v>
      </c>
      <c r="AB157" s="1126" t="e">
        <f t="shared" si="112"/>
        <v>#VALUE!</v>
      </c>
      <c r="AC157" s="1126" t="e">
        <f t="shared" si="113"/>
        <v>#VALUE!</v>
      </c>
      <c r="AD157" s="1128" t="e">
        <f t="shared" si="114"/>
        <v>#VALUE!</v>
      </c>
      <c r="AE157" s="1128">
        <f t="shared" si="115"/>
        <v>0</v>
      </c>
      <c r="AF157" s="1096">
        <f>IF(H157&gt;8,tab!$B$51,tab!$B$54)</f>
        <v>0.5</v>
      </c>
      <c r="AG157" s="1097">
        <f t="shared" si="116"/>
        <v>0</v>
      </c>
      <c r="AH157" s="1093">
        <f t="shared" si="117"/>
        <v>0</v>
      </c>
      <c r="AI157" s="1102"/>
    </row>
    <row r="158" spans="2:40" ht="12.75" customHeight="1" x14ac:dyDescent="0.3">
      <c r="C158" s="114"/>
      <c r="D158" s="353" t="str">
        <f>IF(dir!D136=0,"",dir!D136)</f>
        <v/>
      </c>
      <c r="E158" s="388" t="str">
        <f>IF(dir!E136=0,"-",dir!E136)</f>
        <v/>
      </c>
      <c r="F158" s="105" t="str">
        <f>IF(dir!F136="","",dir!F136+1)</f>
        <v/>
      </c>
      <c r="G158" s="354" t="str">
        <f>IF(dir!G136="","",dir!G136)</f>
        <v/>
      </c>
      <c r="H158" s="389" t="str">
        <f t="shared" si="105"/>
        <v/>
      </c>
      <c r="I158" s="355" t="str">
        <f>IF(J158="","",(IF(dir!I136+1&gt;LOOKUP(H158,schaal2019,regels2019),dir!I136,dir!I136+1)))</f>
        <v/>
      </c>
      <c r="J158" s="356" t="str">
        <f>IF(dir!J136="","",dir!J136)</f>
        <v/>
      </c>
      <c r="K158" s="370"/>
      <c r="L158" s="1061">
        <f>IF(dir!L136="","",dir!L136)</f>
        <v>0</v>
      </c>
      <c r="M158" s="1061">
        <f>IF(dir!M136="","",dir!M136)</f>
        <v>0</v>
      </c>
      <c r="N158" s="1051" t="str">
        <f t="shared" si="106"/>
        <v/>
      </c>
      <c r="O158" s="1051"/>
      <c r="P158" s="1125" t="str">
        <f t="shared" si="107"/>
        <v/>
      </c>
      <c r="Q158" s="472"/>
      <c r="R158" s="923" t="str">
        <f t="shared" si="118"/>
        <v/>
      </c>
      <c r="S158" s="923" t="str">
        <f t="shared" si="108"/>
        <v/>
      </c>
      <c r="T158" s="925" t="str">
        <f t="shared" si="109"/>
        <v/>
      </c>
      <c r="U158" s="236"/>
      <c r="V158" s="1103"/>
      <c r="W158" s="1103"/>
      <c r="X158" s="709"/>
      <c r="Y158" s="1095" t="str">
        <f t="shared" si="110"/>
        <v/>
      </c>
      <c r="Z158" s="1094">
        <f>tab!B$50</f>
        <v>0.6</v>
      </c>
      <c r="AA158" s="1126" t="e">
        <f t="shared" si="111"/>
        <v>#VALUE!</v>
      </c>
      <c r="AB158" s="1126" t="e">
        <f t="shared" si="112"/>
        <v>#VALUE!</v>
      </c>
      <c r="AC158" s="1126" t="e">
        <f t="shared" si="113"/>
        <v>#VALUE!</v>
      </c>
      <c r="AD158" s="1128" t="e">
        <f t="shared" si="114"/>
        <v>#VALUE!</v>
      </c>
      <c r="AE158" s="1128">
        <f t="shared" si="115"/>
        <v>0</v>
      </c>
      <c r="AF158" s="1096">
        <f>IF(H158&gt;8,tab!$B$51,tab!$B$54)</f>
        <v>0.5</v>
      </c>
      <c r="AG158" s="1097">
        <f t="shared" si="116"/>
        <v>0</v>
      </c>
      <c r="AH158" s="1093">
        <f t="shared" si="117"/>
        <v>0</v>
      </c>
      <c r="AI158" s="1102"/>
    </row>
    <row r="159" spans="2:40" ht="12.75" customHeight="1" x14ac:dyDescent="0.3">
      <c r="C159" s="114"/>
      <c r="D159" s="166"/>
      <c r="E159" s="212"/>
      <c r="F159" s="372"/>
      <c r="G159" s="373"/>
      <c r="H159" s="116"/>
      <c r="I159" s="116"/>
      <c r="J159" s="919">
        <f>SUM(J149:J158)</f>
        <v>1</v>
      </c>
      <c r="K159" s="372"/>
      <c r="L159" s="1039">
        <f t="shared" ref="L159:M159" si="119">SUM(L149:L158)</f>
        <v>130</v>
      </c>
      <c r="M159" s="1039">
        <f t="shared" si="119"/>
        <v>170</v>
      </c>
      <c r="N159" s="1039">
        <f>SUM(N149:N158)</f>
        <v>40</v>
      </c>
      <c r="O159" s="1039"/>
      <c r="P159" s="1039">
        <f t="shared" ref="P159" si="120">SUM(P149:P158)</f>
        <v>340</v>
      </c>
      <c r="Q159" s="372"/>
      <c r="R159" s="920">
        <f t="shared" ref="R159:T159" si="121">SUM(R149:R158)</f>
        <v>67044.316817359853</v>
      </c>
      <c r="S159" s="921">
        <f t="shared" si="121"/>
        <v>12516.802893309223</v>
      </c>
      <c r="T159" s="920">
        <f t="shared" si="121"/>
        <v>79561.119710669082</v>
      </c>
      <c r="U159" s="371"/>
      <c r="V159" s="1063"/>
      <c r="W159" s="1063"/>
      <c r="Y159" s="1098">
        <f>SUM(Y149:Y158)</f>
        <v>4392</v>
      </c>
      <c r="Z159" s="1130"/>
      <c r="AA159" s="1098">
        <f t="shared" si="111"/>
        <v>31.768535262206147</v>
      </c>
      <c r="AB159" s="1098"/>
      <c r="AC159" s="1098"/>
      <c r="AG159" s="1099"/>
      <c r="AH159" s="1100"/>
      <c r="AI159" s="1102"/>
    </row>
    <row r="163" spans="3:34" x14ac:dyDescent="0.3">
      <c r="C163" s="8" t="s">
        <v>180</v>
      </c>
      <c r="E163" s="238" t="str">
        <f>tab!H2</f>
        <v>2026/27</v>
      </c>
      <c r="H163" s="1270"/>
      <c r="J163" s="292"/>
      <c r="R163" s="397"/>
      <c r="S163" s="154"/>
      <c r="T163" s="782"/>
      <c r="V163" s="1063"/>
      <c r="W163" s="1063"/>
      <c r="Y163" s="1095"/>
      <c r="Z163" s="1103"/>
      <c r="AA163" s="1103"/>
      <c r="AB163" s="1103"/>
      <c r="AC163" s="1103"/>
      <c r="AG163" s="1097"/>
      <c r="AH163" s="1093"/>
    </row>
    <row r="164" spans="3:34" x14ac:dyDescent="0.3">
      <c r="C164" s="15" t="s">
        <v>193</v>
      </c>
      <c r="E164" s="1269">
        <f>tab!I3</f>
        <v>46296</v>
      </c>
      <c r="H164" s="1270"/>
      <c r="J164" s="292"/>
      <c r="R164" s="397"/>
      <c r="S164" s="154"/>
      <c r="T164" s="782"/>
      <c r="V164" s="1063"/>
      <c r="W164" s="1063"/>
      <c r="Y164" s="1095"/>
      <c r="Z164" s="1103"/>
      <c r="AA164" s="1103"/>
      <c r="AB164" s="1103"/>
      <c r="AC164" s="1103"/>
      <c r="AG164" s="1097"/>
      <c r="AH164" s="1093"/>
    </row>
    <row r="165" spans="3:34" x14ac:dyDescent="0.3">
      <c r="H165" s="1270"/>
      <c r="J165" s="292"/>
      <c r="R165" s="397"/>
      <c r="S165" s="154"/>
      <c r="T165" s="782"/>
      <c r="V165" s="1063"/>
      <c r="W165" s="1063"/>
      <c r="Y165" s="1095"/>
      <c r="Z165" s="1103"/>
      <c r="AA165" s="1103"/>
      <c r="AB165" s="1103"/>
      <c r="AC165" s="1103"/>
      <c r="AG165" s="1097"/>
      <c r="AH165" s="1093"/>
    </row>
    <row r="166" spans="3:34" x14ac:dyDescent="0.3">
      <c r="C166" s="163"/>
      <c r="D166" s="357"/>
      <c r="E166" s="358"/>
      <c r="F166" s="164"/>
      <c r="G166" s="360"/>
      <c r="H166" s="1270"/>
      <c r="I166" s="361"/>
      <c r="J166" s="362"/>
      <c r="K166" s="108"/>
      <c r="L166" s="361"/>
      <c r="M166" s="361"/>
      <c r="N166" s="361"/>
      <c r="O166" s="361"/>
      <c r="P166" s="361"/>
      <c r="Q166" s="108"/>
      <c r="R166" s="393"/>
      <c r="S166" s="363"/>
      <c r="T166" s="778"/>
      <c r="U166" s="109"/>
      <c r="V166" s="1063"/>
      <c r="W166" s="1063"/>
      <c r="AE166" s="1077"/>
      <c r="AF166" s="1078"/>
    </row>
    <row r="167" spans="3:34" x14ac:dyDescent="0.3">
      <c r="C167" s="382"/>
      <c r="D167" s="1033" t="s">
        <v>284</v>
      </c>
      <c r="E167" s="1033"/>
      <c r="F167" s="1033"/>
      <c r="G167" s="1033"/>
      <c r="H167" s="1270"/>
      <c r="I167" s="1033"/>
      <c r="J167" s="1033"/>
      <c r="K167" s="1033"/>
      <c r="L167" s="1033" t="s">
        <v>502</v>
      </c>
      <c r="M167" s="1035"/>
      <c r="N167" s="1033"/>
      <c r="O167" s="1033"/>
      <c r="P167" s="1133"/>
      <c r="Q167" s="902"/>
      <c r="R167" s="1033" t="s">
        <v>503</v>
      </c>
      <c r="S167" s="1036"/>
      <c r="T167" s="1134"/>
      <c r="U167" s="1135"/>
      <c r="V167" s="1064"/>
      <c r="W167" s="1064"/>
      <c r="X167" s="384"/>
      <c r="Y167" s="1063"/>
      <c r="Z167" s="1136"/>
      <c r="AD167" s="1137"/>
      <c r="AE167" s="1137"/>
      <c r="AF167" s="1066"/>
      <c r="AG167" s="1090"/>
      <c r="AH167" s="1091"/>
    </row>
    <row r="168" spans="3:34" x14ac:dyDescent="0.3">
      <c r="C168" s="382"/>
      <c r="D168" s="903" t="s">
        <v>494</v>
      </c>
      <c r="E168" s="877" t="s">
        <v>181</v>
      </c>
      <c r="F168" s="904" t="s">
        <v>137</v>
      </c>
      <c r="G168" s="905" t="s">
        <v>273</v>
      </c>
      <c r="H168" s="904" t="s">
        <v>206</v>
      </c>
      <c r="I168" s="904" t="s">
        <v>225</v>
      </c>
      <c r="J168" s="906" t="s">
        <v>187</v>
      </c>
      <c r="K168" s="881"/>
      <c r="L168" s="907" t="s">
        <v>479</v>
      </c>
      <c r="M168" s="907" t="s">
        <v>480</v>
      </c>
      <c r="N168" s="907" t="s">
        <v>478</v>
      </c>
      <c r="O168" s="907" t="s">
        <v>479</v>
      </c>
      <c r="P168" s="1138" t="s">
        <v>504</v>
      </c>
      <c r="Q168" s="881"/>
      <c r="R168" s="1037" t="s">
        <v>192</v>
      </c>
      <c r="S168" s="909" t="s">
        <v>505</v>
      </c>
      <c r="T168" s="910" t="s">
        <v>192</v>
      </c>
      <c r="U168" s="1139"/>
      <c r="V168" s="1101"/>
      <c r="W168" s="1101"/>
      <c r="X168" s="386"/>
      <c r="Y168" s="915" t="s">
        <v>303</v>
      </c>
      <c r="Z168" s="1127" t="s">
        <v>497</v>
      </c>
      <c r="AA168" s="1101" t="s">
        <v>498</v>
      </c>
      <c r="AB168" s="1101" t="s">
        <v>498</v>
      </c>
      <c r="AC168" s="1101" t="s">
        <v>495</v>
      </c>
      <c r="AD168" s="1048" t="s">
        <v>488</v>
      </c>
      <c r="AE168" s="1048" t="s">
        <v>489</v>
      </c>
      <c r="AF168" s="916" t="s">
        <v>490</v>
      </c>
      <c r="AG168" s="1092" t="s">
        <v>297</v>
      </c>
      <c r="AH168" s="1091" t="s">
        <v>427</v>
      </c>
    </row>
    <row r="169" spans="3:34" x14ac:dyDescent="0.3">
      <c r="C169" s="382"/>
      <c r="D169" s="911"/>
      <c r="E169" s="877"/>
      <c r="F169" s="904" t="s">
        <v>138</v>
      </c>
      <c r="G169" s="905" t="s">
        <v>274</v>
      </c>
      <c r="H169" s="904"/>
      <c r="I169" s="904"/>
      <c r="J169" s="906" t="s">
        <v>276</v>
      </c>
      <c r="K169" s="881"/>
      <c r="L169" s="907" t="s">
        <v>482</v>
      </c>
      <c r="M169" s="907" t="s">
        <v>483</v>
      </c>
      <c r="N169" s="907" t="s">
        <v>481</v>
      </c>
      <c r="O169" s="907" t="s">
        <v>493</v>
      </c>
      <c r="P169" s="1138" t="s">
        <v>269</v>
      </c>
      <c r="Q169" s="881"/>
      <c r="R169" s="908" t="s">
        <v>506</v>
      </c>
      <c r="S169" s="909" t="s">
        <v>484</v>
      </c>
      <c r="T169" s="910" t="s">
        <v>269</v>
      </c>
      <c r="U169" s="887"/>
      <c r="V169" s="1063"/>
      <c r="W169" s="1063"/>
      <c r="X169" s="129"/>
      <c r="Y169" s="915" t="s">
        <v>197</v>
      </c>
      <c r="Z169" s="1129">
        <f>tab!B$50</f>
        <v>0.6</v>
      </c>
      <c r="AA169" s="1101" t="s">
        <v>499</v>
      </c>
      <c r="AB169" s="1101" t="s">
        <v>500</v>
      </c>
      <c r="AC169" s="1101" t="s">
        <v>501</v>
      </c>
      <c r="AD169" s="1048" t="s">
        <v>491</v>
      </c>
      <c r="AE169" s="1048" t="s">
        <v>491</v>
      </c>
      <c r="AF169" s="916" t="s">
        <v>492</v>
      </c>
      <c r="AG169" s="1092"/>
      <c r="AH169" s="1093" t="s">
        <v>224</v>
      </c>
    </row>
    <row r="170" spans="3:34" x14ac:dyDescent="0.3">
      <c r="C170" s="114"/>
      <c r="D170" s="367"/>
      <c r="E170" s="367"/>
      <c r="F170" s="367"/>
      <c r="G170" s="367"/>
      <c r="H170" s="367"/>
      <c r="I170" s="367"/>
      <c r="J170" s="367"/>
      <c r="K170" s="365"/>
      <c r="L170" s="367"/>
      <c r="M170" s="367"/>
      <c r="N170" s="367"/>
      <c r="O170" s="367"/>
      <c r="P170" s="367"/>
      <c r="Q170" s="365"/>
      <c r="R170" s="773"/>
      <c r="S170" s="368"/>
      <c r="T170" s="779"/>
      <c r="U170" s="113"/>
      <c r="V170" s="1063"/>
      <c r="W170" s="1063"/>
      <c r="Y170" s="915"/>
      <c r="Z170" s="1064"/>
      <c r="AA170" s="1094"/>
      <c r="AB170" s="1094"/>
      <c r="AC170" s="1094"/>
      <c r="AE170" s="1063"/>
      <c r="AF170" s="1063"/>
      <c r="AG170" s="1092"/>
      <c r="AH170" s="1093"/>
    </row>
    <row r="171" spans="3:34" x14ac:dyDescent="0.3">
      <c r="C171" s="114"/>
      <c r="D171" s="353" t="str">
        <f>IF(dir!D149=0,"",dir!D149)</f>
        <v/>
      </c>
      <c r="E171" s="388" t="str">
        <f>IF(dir!E149=0,"-",dir!E149)</f>
        <v>nn</v>
      </c>
      <c r="F171" s="105" t="str">
        <f>IF(dir!F149="","",dir!F149+1)</f>
        <v/>
      </c>
      <c r="G171" s="354" t="str">
        <f>IF(dir!G149="","",dir!G149)</f>
        <v/>
      </c>
      <c r="H171" s="389" t="str">
        <f t="shared" ref="H171:H180" si="122">IF(H149=0,"",H149)</f>
        <v>D11</v>
      </c>
      <c r="I171" s="355">
        <f>IF(J171="","",(IF(dir!I149+1&gt;LOOKUP(H171,schaal2019,regels2019),dir!I149,dir!I149+1)))</f>
        <v>10</v>
      </c>
      <c r="J171" s="356">
        <f>IF(dir!J149="","",dir!J149)</f>
        <v>1</v>
      </c>
      <c r="K171" s="370"/>
      <c r="L171" s="1061">
        <f>IF(dir!L149="","",dir!L149)</f>
        <v>130</v>
      </c>
      <c r="M171" s="1061">
        <f>IF(dir!M149="","",dir!M149)</f>
        <v>170</v>
      </c>
      <c r="N171" s="1051">
        <f t="shared" ref="N171:N180" si="123">IF(J171="","",IF((J171*40)&gt;40,40,((J171*40))))</f>
        <v>40</v>
      </c>
      <c r="O171" s="1051"/>
      <c r="P171" s="1125">
        <f t="shared" ref="P171:P180" si="124">IF(J171="","",(SUM(L171:O171)))</f>
        <v>340</v>
      </c>
      <c r="Q171" s="472"/>
      <c r="R171" s="923">
        <f>IF(J171="","",(((1659*J171)-P171)*AB171))</f>
        <v>69150.900542495481</v>
      </c>
      <c r="S171" s="923">
        <f t="shared" ref="S171:S180" si="125">IF(J171="","",(P171*AC171)+(AA171*AD171)+((AE171*AA171*(1-AF171))))</f>
        <v>12910.090415913201</v>
      </c>
      <c r="T171" s="925">
        <f t="shared" ref="T171:T180" si="126">IF(J171="","",(R171+S171))</f>
        <v>82060.990958408685</v>
      </c>
      <c r="U171" s="236"/>
      <c r="V171" s="1103"/>
      <c r="W171" s="1103"/>
      <c r="X171" s="709"/>
      <c r="Y171" s="1095">
        <f t="shared" ref="Y171:Y180" si="127">IF(H171="","",VLOOKUP(H171,salaris2021,I171+1,FALSE))</f>
        <v>4530</v>
      </c>
      <c r="Z171" s="1094">
        <f>tab!B$50</f>
        <v>0.6</v>
      </c>
      <c r="AA171" s="1126">
        <f t="shared" ref="AA171:AA181" si="128">(Y171*12/1659)</f>
        <v>32.766726943942132</v>
      </c>
      <c r="AB171" s="1126">
        <f t="shared" ref="AB171:AB180" si="129">(Y171*12*(1+Z171))/1659</f>
        <v>52.426763110307412</v>
      </c>
      <c r="AC171" s="1126">
        <f t="shared" ref="AC171:AC180" si="130">AB171-AA171</f>
        <v>19.660036166365281</v>
      </c>
      <c r="AD171" s="1128">
        <f t="shared" ref="AD171:AD180" si="131">(N171+O171)</f>
        <v>40</v>
      </c>
      <c r="AE171" s="1128">
        <f t="shared" ref="AE171:AE180" si="132">(L171+M171)</f>
        <v>300</v>
      </c>
      <c r="AF171" s="1096">
        <f>IF(H171&gt;8,tab!$B$51,tab!$B$54)</f>
        <v>0.5</v>
      </c>
      <c r="AG171" s="1097">
        <f t="shared" ref="AG171:AG180" si="133">IF(F171&lt;25,0,IF(F171=25,25,IF(F171&lt;40,0,IF(F171=40,40,IF(F171&gt;=40,0)))))</f>
        <v>0</v>
      </c>
      <c r="AH171" s="1093">
        <f t="shared" ref="AH171:AH180" si="134">IF(AG171=25,(Y171*1.08*(J171)/2),IF(AG171=40,(Y171*1.08*(J171)),IF(AG171=0,0)))</f>
        <v>0</v>
      </c>
    </row>
    <row r="172" spans="3:34" x14ac:dyDescent="0.3">
      <c r="C172" s="114"/>
      <c r="D172" s="353" t="str">
        <f>IF(dir!D150=0,"",dir!D150)</f>
        <v/>
      </c>
      <c r="E172" s="388" t="str">
        <f>IF(dir!E150=0,"-",dir!E150)</f>
        <v/>
      </c>
      <c r="F172" s="105" t="str">
        <f>IF(dir!F150="","",dir!F150+1)</f>
        <v/>
      </c>
      <c r="G172" s="354" t="str">
        <f>IF(dir!G150="","",dir!G150)</f>
        <v/>
      </c>
      <c r="H172" s="389" t="str">
        <f t="shared" si="122"/>
        <v/>
      </c>
      <c r="I172" s="355" t="str">
        <f>IF(J172="","",(IF(dir!I150+1&gt;LOOKUP(H172,schaal2019,regels2019),dir!I150,dir!I150+1)))</f>
        <v/>
      </c>
      <c r="J172" s="356" t="str">
        <f>IF(dir!J150="","",dir!J150)</f>
        <v/>
      </c>
      <c r="K172" s="370"/>
      <c r="L172" s="1061">
        <f>IF(dir!L150="","",dir!L150)</f>
        <v>0</v>
      </c>
      <c r="M172" s="1061">
        <f>IF(dir!M150="","",dir!M150)</f>
        <v>0</v>
      </c>
      <c r="N172" s="1051" t="str">
        <f t="shared" si="123"/>
        <v/>
      </c>
      <c r="O172" s="1051"/>
      <c r="P172" s="1125" t="str">
        <f t="shared" si="124"/>
        <v/>
      </c>
      <c r="Q172" s="472"/>
      <c r="R172" s="923" t="str">
        <f t="shared" ref="R172:R180" si="135">IF(J172="","",(((1659*J172)-P172)*AB172))</f>
        <v/>
      </c>
      <c r="S172" s="923" t="str">
        <f t="shared" si="125"/>
        <v/>
      </c>
      <c r="T172" s="925" t="str">
        <f t="shared" si="126"/>
        <v/>
      </c>
      <c r="U172" s="236"/>
      <c r="V172" s="1103"/>
      <c r="W172" s="1103"/>
      <c r="X172" s="709"/>
      <c r="Y172" s="1095" t="str">
        <f t="shared" si="127"/>
        <v/>
      </c>
      <c r="Z172" s="1094">
        <f>tab!B$50</f>
        <v>0.6</v>
      </c>
      <c r="AA172" s="1126" t="e">
        <f t="shared" si="128"/>
        <v>#VALUE!</v>
      </c>
      <c r="AB172" s="1126" t="e">
        <f t="shared" si="129"/>
        <v>#VALUE!</v>
      </c>
      <c r="AC172" s="1126" t="e">
        <f t="shared" si="130"/>
        <v>#VALUE!</v>
      </c>
      <c r="AD172" s="1128" t="e">
        <f t="shared" si="131"/>
        <v>#VALUE!</v>
      </c>
      <c r="AE172" s="1128">
        <f t="shared" si="132"/>
        <v>0</v>
      </c>
      <c r="AF172" s="1096">
        <f>IF(H172&gt;8,tab!$B$51,tab!$B$54)</f>
        <v>0.5</v>
      </c>
      <c r="AG172" s="1097">
        <f t="shared" si="133"/>
        <v>0</v>
      </c>
      <c r="AH172" s="1093">
        <f t="shared" si="134"/>
        <v>0</v>
      </c>
    </row>
    <row r="173" spans="3:34" x14ac:dyDescent="0.3">
      <c r="C173" s="114"/>
      <c r="D173" s="353" t="str">
        <f>IF(dir!D151=0,"",dir!D151)</f>
        <v/>
      </c>
      <c r="E173" s="388" t="str">
        <f>IF(dir!E151=0,"-",dir!E151)</f>
        <v/>
      </c>
      <c r="F173" s="105" t="str">
        <f>IF(dir!F151="","",dir!F151+1)</f>
        <v/>
      </c>
      <c r="G173" s="354" t="str">
        <f>IF(dir!G151="","",dir!G151)</f>
        <v/>
      </c>
      <c r="H173" s="389" t="str">
        <f t="shared" si="122"/>
        <v/>
      </c>
      <c r="I173" s="355" t="str">
        <f>IF(J173="","",(IF(dir!I151+1&gt;LOOKUP(H173,schaal2019,regels2019),dir!I151,dir!I151+1)))</f>
        <v/>
      </c>
      <c r="J173" s="356" t="str">
        <f>IF(dir!J151="","",dir!J151)</f>
        <v/>
      </c>
      <c r="K173" s="370"/>
      <c r="L173" s="1061">
        <f>IF(dir!L151="","",dir!L151)</f>
        <v>0</v>
      </c>
      <c r="M173" s="1061">
        <f>IF(dir!M151="","",dir!M151)</f>
        <v>0</v>
      </c>
      <c r="N173" s="1051" t="str">
        <f t="shared" si="123"/>
        <v/>
      </c>
      <c r="O173" s="1051"/>
      <c r="P173" s="1125" t="str">
        <f t="shared" si="124"/>
        <v/>
      </c>
      <c r="Q173" s="472"/>
      <c r="R173" s="923" t="str">
        <f t="shared" si="135"/>
        <v/>
      </c>
      <c r="S173" s="923" t="str">
        <f t="shared" si="125"/>
        <v/>
      </c>
      <c r="T173" s="925" t="str">
        <f t="shared" si="126"/>
        <v/>
      </c>
      <c r="U173" s="236"/>
      <c r="V173" s="1103"/>
      <c r="W173" s="1103"/>
      <c r="X173" s="709"/>
      <c r="Y173" s="1095" t="str">
        <f t="shared" si="127"/>
        <v/>
      </c>
      <c r="Z173" s="1094">
        <f>tab!B$50</f>
        <v>0.6</v>
      </c>
      <c r="AA173" s="1126" t="e">
        <f t="shared" si="128"/>
        <v>#VALUE!</v>
      </c>
      <c r="AB173" s="1126" t="e">
        <f t="shared" si="129"/>
        <v>#VALUE!</v>
      </c>
      <c r="AC173" s="1126" t="e">
        <f t="shared" si="130"/>
        <v>#VALUE!</v>
      </c>
      <c r="AD173" s="1128" t="e">
        <f t="shared" si="131"/>
        <v>#VALUE!</v>
      </c>
      <c r="AE173" s="1128">
        <f t="shared" si="132"/>
        <v>0</v>
      </c>
      <c r="AF173" s="1096">
        <f>IF(H173&gt;8,tab!$B$51,tab!$B$54)</f>
        <v>0.5</v>
      </c>
      <c r="AG173" s="1097">
        <f t="shared" si="133"/>
        <v>0</v>
      </c>
      <c r="AH173" s="1093">
        <f t="shared" si="134"/>
        <v>0</v>
      </c>
    </row>
    <row r="174" spans="3:34" x14ac:dyDescent="0.3">
      <c r="C174" s="114"/>
      <c r="D174" s="353" t="str">
        <f>IF(dir!D152=0,"",dir!D152)</f>
        <v/>
      </c>
      <c r="E174" s="388" t="str">
        <f>IF(dir!E152=0,"-",dir!E152)</f>
        <v/>
      </c>
      <c r="F174" s="105" t="str">
        <f>IF(dir!F152="","",dir!F152+1)</f>
        <v/>
      </c>
      <c r="G174" s="354" t="str">
        <f>IF(dir!G152="","",dir!G152)</f>
        <v/>
      </c>
      <c r="H174" s="389" t="str">
        <f t="shared" si="122"/>
        <v/>
      </c>
      <c r="I174" s="355" t="str">
        <f>IF(J174="","",(IF(dir!I152+1&gt;LOOKUP(H174,schaal2019,regels2019),dir!I152,dir!I152+1)))</f>
        <v/>
      </c>
      <c r="J174" s="356" t="str">
        <f>IF(dir!J152="","",dir!J152)</f>
        <v/>
      </c>
      <c r="K174" s="370"/>
      <c r="L174" s="1061">
        <f>IF(dir!L152="","",dir!L152)</f>
        <v>0</v>
      </c>
      <c r="M174" s="1061">
        <f>IF(dir!M152="","",dir!M152)</f>
        <v>0</v>
      </c>
      <c r="N174" s="1051" t="str">
        <f t="shared" si="123"/>
        <v/>
      </c>
      <c r="O174" s="1051"/>
      <c r="P174" s="1125" t="str">
        <f t="shared" si="124"/>
        <v/>
      </c>
      <c r="Q174" s="472"/>
      <c r="R174" s="923" t="str">
        <f t="shared" si="135"/>
        <v/>
      </c>
      <c r="S174" s="923" t="str">
        <f t="shared" si="125"/>
        <v/>
      </c>
      <c r="T174" s="925" t="str">
        <f t="shared" si="126"/>
        <v/>
      </c>
      <c r="U174" s="236"/>
      <c r="V174" s="1103"/>
      <c r="W174" s="1103"/>
      <c r="X174" s="709"/>
      <c r="Y174" s="1095" t="str">
        <f t="shared" si="127"/>
        <v/>
      </c>
      <c r="Z174" s="1094">
        <f>tab!B$50</f>
        <v>0.6</v>
      </c>
      <c r="AA174" s="1126" t="e">
        <f t="shared" si="128"/>
        <v>#VALUE!</v>
      </c>
      <c r="AB174" s="1126" t="e">
        <f t="shared" si="129"/>
        <v>#VALUE!</v>
      </c>
      <c r="AC174" s="1126" t="e">
        <f t="shared" si="130"/>
        <v>#VALUE!</v>
      </c>
      <c r="AD174" s="1128" t="e">
        <f t="shared" si="131"/>
        <v>#VALUE!</v>
      </c>
      <c r="AE174" s="1128">
        <f t="shared" si="132"/>
        <v>0</v>
      </c>
      <c r="AF174" s="1096">
        <f>IF(H174&gt;8,tab!$B$51,tab!$B$54)</f>
        <v>0.5</v>
      </c>
      <c r="AG174" s="1097">
        <f t="shared" si="133"/>
        <v>0</v>
      </c>
      <c r="AH174" s="1093">
        <f t="shared" si="134"/>
        <v>0</v>
      </c>
    </row>
    <row r="175" spans="3:34" x14ac:dyDescent="0.3">
      <c r="C175" s="114"/>
      <c r="D175" s="353" t="str">
        <f>IF(dir!D153=0,"",dir!D153)</f>
        <v/>
      </c>
      <c r="E175" s="388" t="str">
        <f>IF(dir!E153=0,"-",dir!E153)</f>
        <v/>
      </c>
      <c r="F175" s="105" t="str">
        <f>IF(dir!F153="","",dir!F153+1)</f>
        <v/>
      </c>
      <c r="G175" s="354" t="str">
        <f>IF(dir!G153="","",dir!G153)</f>
        <v/>
      </c>
      <c r="H175" s="389" t="str">
        <f t="shared" si="122"/>
        <v/>
      </c>
      <c r="I175" s="355" t="str">
        <f>IF(J175="","",(IF(dir!I153+1&gt;LOOKUP(H175,schaal2019,regels2019),dir!I153,dir!I153+1)))</f>
        <v/>
      </c>
      <c r="J175" s="356" t="str">
        <f>IF(dir!J153="","",dir!J153)</f>
        <v/>
      </c>
      <c r="K175" s="370"/>
      <c r="L175" s="1061">
        <f>IF(dir!L153="","",dir!L153)</f>
        <v>0</v>
      </c>
      <c r="M175" s="1061">
        <f>IF(dir!M153="","",dir!M153)</f>
        <v>0</v>
      </c>
      <c r="N175" s="1051" t="str">
        <f t="shared" si="123"/>
        <v/>
      </c>
      <c r="O175" s="1051"/>
      <c r="P175" s="1125" t="str">
        <f t="shared" si="124"/>
        <v/>
      </c>
      <c r="Q175" s="472"/>
      <c r="R175" s="923" t="str">
        <f t="shared" si="135"/>
        <v/>
      </c>
      <c r="S175" s="923" t="str">
        <f t="shared" si="125"/>
        <v/>
      </c>
      <c r="T175" s="925" t="str">
        <f t="shared" si="126"/>
        <v/>
      </c>
      <c r="U175" s="236"/>
      <c r="V175" s="1103"/>
      <c r="W175" s="1103"/>
      <c r="X175" s="709"/>
      <c r="Y175" s="1095" t="str">
        <f t="shared" si="127"/>
        <v/>
      </c>
      <c r="Z175" s="1094">
        <f>tab!B$50</f>
        <v>0.6</v>
      </c>
      <c r="AA175" s="1126" t="e">
        <f t="shared" si="128"/>
        <v>#VALUE!</v>
      </c>
      <c r="AB175" s="1126" t="e">
        <f t="shared" si="129"/>
        <v>#VALUE!</v>
      </c>
      <c r="AC175" s="1126" t="e">
        <f t="shared" si="130"/>
        <v>#VALUE!</v>
      </c>
      <c r="AD175" s="1128" t="e">
        <f t="shared" si="131"/>
        <v>#VALUE!</v>
      </c>
      <c r="AE175" s="1128">
        <f t="shared" si="132"/>
        <v>0</v>
      </c>
      <c r="AF175" s="1096">
        <f>IF(H175&gt;8,tab!$B$51,tab!$B$54)</f>
        <v>0.5</v>
      </c>
      <c r="AG175" s="1097">
        <f t="shared" si="133"/>
        <v>0</v>
      </c>
      <c r="AH175" s="1093">
        <f t="shared" si="134"/>
        <v>0</v>
      </c>
    </row>
    <row r="176" spans="3:34" x14ac:dyDescent="0.3">
      <c r="C176" s="114"/>
      <c r="D176" s="353" t="str">
        <f>IF(dir!D154=0,"",dir!D154)</f>
        <v/>
      </c>
      <c r="E176" s="388" t="str">
        <f>IF(dir!E154=0,"-",dir!E154)</f>
        <v/>
      </c>
      <c r="F176" s="105" t="str">
        <f>IF(dir!F154="","",dir!F154+1)</f>
        <v/>
      </c>
      <c r="G176" s="354" t="str">
        <f>IF(dir!G154="","",dir!G154)</f>
        <v/>
      </c>
      <c r="H176" s="389" t="str">
        <f t="shared" si="122"/>
        <v/>
      </c>
      <c r="I176" s="355" t="str">
        <f>IF(J176="","",(IF(dir!I154+1&gt;LOOKUP(H176,schaal2019,regels2019),dir!I154,dir!I154+1)))</f>
        <v/>
      </c>
      <c r="J176" s="356" t="str">
        <f>IF(dir!J154="","",dir!J154)</f>
        <v/>
      </c>
      <c r="K176" s="370"/>
      <c r="L176" s="1061">
        <f>IF(dir!L154="","",dir!L154)</f>
        <v>0</v>
      </c>
      <c r="M176" s="1061">
        <f>IF(dir!M154="","",dir!M154)</f>
        <v>0</v>
      </c>
      <c r="N176" s="1051" t="str">
        <f t="shared" si="123"/>
        <v/>
      </c>
      <c r="O176" s="1051"/>
      <c r="P176" s="1125" t="str">
        <f t="shared" si="124"/>
        <v/>
      </c>
      <c r="Q176" s="472"/>
      <c r="R176" s="923" t="str">
        <f t="shared" si="135"/>
        <v/>
      </c>
      <c r="S176" s="923" t="str">
        <f t="shared" si="125"/>
        <v/>
      </c>
      <c r="T176" s="925" t="str">
        <f t="shared" si="126"/>
        <v/>
      </c>
      <c r="U176" s="236"/>
      <c r="V176" s="1103"/>
      <c r="W176" s="1103"/>
      <c r="X176" s="709"/>
      <c r="Y176" s="1095" t="str">
        <f t="shared" si="127"/>
        <v/>
      </c>
      <c r="Z176" s="1094">
        <f>tab!B$50</f>
        <v>0.6</v>
      </c>
      <c r="AA176" s="1126" t="e">
        <f t="shared" si="128"/>
        <v>#VALUE!</v>
      </c>
      <c r="AB176" s="1126" t="e">
        <f t="shared" si="129"/>
        <v>#VALUE!</v>
      </c>
      <c r="AC176" s="1126" t="e">
        <f t="shared" si="130"/>
        <v>#VALUE!</v>
      </c>
      <c r="AD176" s="1128" t="e">
        <f t="shared" si="131"/>
        <v>#VALUE!</v>
      </c>
      <c r="AE176" s="1128">
        <f t="shared" si="132"/>
        <v>0</v>
      </c>
      <c r="AF176" s="1096">
        <f>IF(H176&gt;8,tab!$B$51,tab!$B$54)</f>
        <v>0.5</v>
      </c>
      <c r="AG176" s="1097">
        <f t="shared" si="133"/>
        <v>0</v>
      </c>
      <c r="AH176" s="1093">
        <f t="shared" si="134"/>
        <v>0</v>
      </c>
    </row>
    <row r="177" spans="3:34" x14ac:dyDescent="0.3">
      <c r="C177" s="114"/>
      <c r="D177" s="353" t="str">
        <f>IF(dir!D155=0,"",dir!D155)</f>
        <v/>
      </c>
      <c r="E177" s="388" t="str">
        <f>IF(dir!E155=0,"-",dir!E155)</f>
        <v/>
      </c>
      <c r="F177" s="105" t="str">
        <f>IF(dir!F155="","",dir!F155+1)</f>
        <v/>
      </c>
      <c r="G177" s="354" t="str">
        <f>IF(dir!G155="","",dir!G155)</f>
        <v/>
      </c>
      <c r="H177" s="389" t="str">
        <f t="shared" si="122"/>
        <v/>
      </c>
      <c r="I177" s="355" t="str">
        <f>IF(J177="","",(IF(dir!I155+1&gt;LOOKUP(H177,schaal2019,regels2019),dir!I155,dir!I155+1)))</f>
        <v/>
      </c>
      <c r="J177" s="356" t="str">
        <f>IF(dir!J155="","",dir!J155)</f>
        <v/>
      </c>
      <c r="K177" s="370"/>
      <c r="L177" s="1061">
        <f>IF(dir!L155="","",dir!L155)</f>
        <v>0</v>
      </c>
      <c r="M177" s="1061">
        <f>IF(dir!M155="","",dir!M155)</f>
        <v>0</v>
      </c>
      <c r="N177" s="1051" t="str">
        <f t="shared" si="123"/>
        <v/>
      </c>
      <c r="O177" s="1051"/>
      <c r="P177" s="1125" t="str">
        <f t="shared" si="124"/>
        <v/>
      </c>
      <c r="Q177" s="472"/>
      <c r="R177" s="923" t="str">
        <f t="shared" si="135"/>
        <v/>
      </c>
      <c r="S177" s="923" t="str">
        <f t="shared" si="125"/>
        <v/>
      </c>
      <c r="T177" s="925" t="str">
        <f t="shared" si="126"/>
        <v/>
      </c>
      <c r="U177" s="236"/>
      <c r="V177" s="1103"/>
      <c r="W177" s="1103"/>
      <c r="X177" s="709"/>
      <c r="Y177" s="1095" t="str">
        <f t="shared" si="127"/>
        <v/>
      </c>
      <c r="Z177" s="1094">
        <f>tab!B$50</f>
        <v>0.6</v>
      </c>
      <c r="AA177" s="1126" t="e">
        <f t="shared" si="128"/>
        <v>#VALUE!</v>
      </c>
      <c r="AB177" s="1126" t="e">
        <f t="shared" si="129"/>
        <v>#VALUE!</v>
      </c>
      <c r="AC177" s="1126" t="e">
        <f t="shared" si="130"/>
        <v>#VALUE!</v>
      </c>
      <c r="AD177" s="1128" t="e">
        <f t="shared" si="131"/>
        <v>#VALUE!</v>
      </c>
      <c r="AE177" s="1128">
        <f t="shared" si="132"/>
        <v>0</v>
      </c>
      <c r="AF177" s="1096">
        <f>IF(H177&gt;8,tab!$B$51,tab!$B$54)</f>
        <v>0.5</v>
      </c>
      <c r="AG177" s="1097">
        <f t="shared" si="133"/>
        <v>0</v>
      </c>
      <c r="AH177" s="1093">
        <f t="shared" si="134"/>
        <v>0</v>
      </c>
    </row>
    <row r="178" spans="3:34" x14ac:dyDescent="0.3">
      <c r="C178" s="114"/>
      <c r="D178" s="353" t="str">
        <f>IF(dir!D156=0,"",dir!D156)</f>
        <v/>
      </c>
      <c r="E178" s="388" t="str">
        <f>IF(dir!E156=0,"-",dir!E156)</f>
        <v/>
      </c>
      <c r="F178" s="105" t="str">
        <f>IF(dir!F156="","",dir!F156+1)</f>
        <v/>
      </c>
      <c r="G178" s="354" t="str">
        <f>IF(dir!G156="","",dir!G156)</f>
        <v/>
      </c>
      <c r="H178" s="389" t="str">
        <f t="shared" si="122"/>
        <v/>
      </c>
      <c r="I178" s="355" t="str">
        <f>IF(J178="","",(IF(dir!I156+1&gt;LOOKUP(H178,schaal2019,regels2019),dir!I156,dir!I156+1)))</f>
        <v/>
      </c>
      <c r="J178" s="356" t="str">
        <f>IF(dir!J156="","",dir!J156)</f>
        <v/>
      </c>
      <c r="K178" s="370"/>
      <c r="L178" s="1061">
        <f>IF(dir!L156="","",dir!L156)</f>
        <v>0</v>
      </c>
      <c r="M178" s="1061">
        <f>IF(dir!M156="","",dir!M156)</f>
        <v>0</v>
      </c>
      <c r="N178" s="1051" t="str">
        <f t="shared" si="123"/>
        <v/>
      </c>
      <c r="O178" s="1051"/>
      <c r="P178" s="1125" t="str">
        <f t="shared" si="124"/>
        <v/>
      </c>
      <c r="Q178" s="472"/>
      <c r="R178" s="923" t="str">
        <f t="shared" si="135"/>
        <v/>
      </c>
      <c r="S178" s="923" t="str">
        <f t="shared" si="125"/>
        <v/>
      </c>
      <c r="T178" s="925" t="str">
        <f t="shared" si="126"/>
        <v/>
      </c>
      <c r="U178" s="236"/>
      <c r="V178" s="1103"/>
      <c r="W178" s="1103"/>
      <c r="X178" s="709"/>
      <c r="Y178" s="1095" t="str">
        <f t="shared" si="127"/>
        <v/>
      </c>
      <c r="Z178" s="1094">
        <f>tab!B$50</f>
        <v>0.6</v>
      </c>
      <c r="AA178" s="1126" t="e">
        <f t="shared" si="128"/>
        <v>#VALUE!</v>
      </c>
      <c r="AB178" s="1126" t="e">
        <f t="shared" si="129"/>
        <v>#VALUE!</v>
      </c>
      <c r="AC178" s="1126" t="e">
        <f t="shared" si="130"/>
        <v>#VALUE!</v>
      </c>
      <c r="AD178" s="1128" t="e">
        <f t="shared" si="131"/>
        <v>#VALUE!</v>
      </c>
      <c r="AE178" s="1128">
        <f t="shared" si="132"/>
        <v>0</v>
      </c>
      <c r="AF178" s="1096">
        <f>IF(H178&gt;8,tab!$B$51,tab!$B$54)</f>
        <v>0.5</v>
      </c>
      <c r="AG178" s="1097">
        <f t="shared" si="133"/>
        <v>0</v>
      </c>
      <c r="AH178" s="1093">
        <f t="shared" si="134"/>
        <v>0</v>
      </c>
    </row>
    <row r="179" spans="3:34" x14ac:dyDescent="0.3">
      <c r="C179" s="114"/>
      <c r="D179" s="353" t="str">
        <f>IF(dir!D157=0,"",dir!D157)</f>
        <v/>
      </c>
      <c r="E179" s="388" t="str">
        <f>IF(dir!E157=0,"-",dir!E157)</f>
        <v/>
      </c>
      <c r="F179" s="105" t="str">
        <f>IF(dir!F157="","",dir!F157+1)</f>
        <v/>
      </c>
      <c r="G179" s="354" t="str">
        <f>IF(dir!G157="","",dir!G157)</f>
        <v/>
      </c>
      <c r="H179" s="389" t="str">
        <f t="shared" si="122"/>
        <v/>
      </c>
      <c r="I179" s="355" t="str">
        <f>IF(J179="","",(IF(dir!I157+1&gt;LOOKUP(H179,schaal2019,regels2019),dir!I157,dir!I157+1)))</f>
        <v/>
      </c>
      <c r="J179" s="356" t="str">
        <f>IF(dir!J157="","",dir!J157)</f>
        <v/>
      </c>
      <c r="K179" s="370"/>
      <c r="L179" s="1061">
        <f>IF(dir!L157="","",dir!L157)</f>
        <v>0</v>
      </c>
      <c r="M179" s="1061">
        <f>IF(dir!M157="","",dir!M157)</f>
        <v>0</v>
      </c>
      <c r="N179" s="1051" t="str">
        <f t="shared" si="123"/>
        <v/>
      </c>
      <c r="O179" s="1051"/>
      <c r="P179" s="1125" t="str">
        <f t="shared" si="124"/>
        <v/>
      </c>
      <c r="Q179" s="472"/>
      <c r="R179" s="923" t="str">
        <f t="shared" si="135"/>
        <v/>
      </c>
      <c r="S179" s="923" t="str">
        <f t="shared" si="125"/>
        <v/>
      </c>
      <c r="T179" s="925" t="str">
        <f t="shared" si="126"/>
        <v/>
      </c>
      <c r="U179" s="236"/>
      <c r="V179" s="1103"/>
      <c r="W179" s="1103"/>
      <c r="X179" s="709"/>
      <c r="Y179" s="1095" t="str">
        <f t="shared" si="127"/>
        <v/>
      </c>
      <c r="Z179" s="1094">
        <f>tab!B$50</f>
        <v>0.6</v>
      </c>
      <c r="AA179" s="1126" t="e">
        <f t="shared" si="128"/>
        <v>#VALUE!</v>
      </c>
      <c r="AB179" s="1126" t="e">
        <f t="shared" si="129"/>
        <v>#VALUE!</v>
      </c>
      <c r="AC179" s="1126" t="e">
        <f t="shared" si="130"/>
        <v>#VALUE!</v>
      </c>
      <c r="AD179" s="1128" t="e">
        <f t="shared" si="131"/>
        <v>#VALUE!</v>
      </c>
      <c r="AE179" s="1128">
        <f t="shared" si="132"/>
        <v>0</v>
      </c>
      <c r="AF179" s="1096">
        <f>IF(H179&gt;8,tab!$B$51,tab!$B$54)</f>
        <v>0.5</v>
      </c>
      <c r="AG179" s="1097">
        <f t="shared" si="133"/>
        <v>0</v>
      </c>
      <c r="AH179" s="1093">
        <f t="shared" si="134"/>
        <v>0</v>
      </c>
    </row>
    <row r="180" spans="3:34" x14ac:dyDescent="0.3">
      <c r="C180" s="114"/>
      <c r="D180" s="353" t="str">
        <f>IF(dir!D158=0,"",dir!D158)</f>
        <v/>
      </c>
      <c r="E180" s="388" t="str">
        <f>IF(dir!E158=0,"-",dir!E158)</f>
        <v/>
      </c>
      <c r="F180" s="105" t="str">
        <f>IF(dir!F158="","",dir!F158+1)</f>
        <v/>
      </c>
      <c r="G180" s="354" t="str">
        <f>IF(dir!G158="","",dir!G158)</f>
        <v/>
      </c>
      <c r="H180" s="389" t="str">
        <f t="shared" si="122"/>
        <v/>
      </c>
      <c r="I180" s="355" t="str">
        <f>IF(J180="","",(IF(dir!I158+1&gt;LOOKUP(H180,schaal2019,regels2019),dir!I158,dir!I158+1)))</f>
        <v/>
      </c>
      <c r="J180" s="356" t="str">
        <f>IF(dir!J158="","",dir!J158)</f>
        <v/>
      </c>
      <c r="K180" s="370"/>
      <c r="L180" s="1061">
        <f>IF(dir!L158="","",dir!L158)</f>
        <v>0</v>
      </c>
      <c r="M180" s="1061">
        <f>IF(dir!M158="","",dir!M158)</f>
        <v>0</v>
      </c>
      <c r="N180" s="1051" t="str">
        <f t="shared" si="123"/>
        <v/>
      </c>
      <c r="O180" s="1051"/>
      <c r="P180" s="1125" t="str">
        <f t="shared" si="124"/>
        <v/>
      </c>
      <c r="Q180" s="472"/>
      <c r="R180" s="923" t="str">
        <f t="shared" si="135"/>
        <v/>
      </c>
      <c r="S180" s="923" t="str">
        <f t="shared" si="125"/>
        <v/>
      </c>
      <c r="T180" s="925" t="str">
        <f t="shared" si="126"/>
        <v/>
      </c>
      <c r="U180" s="236"/>
      <c r="V180" s="1103"/>
      <c r="W180" s="1103"/>
      <c r="X180" s="709"/>
      <c r="Y180" s="1095" t="str">
        <f t="shared" si="127"/>
        <v/>
      </c>
      <c r="Z180" s="1094">
        <f>tab!B$50</f>
        <v>0.6</v>
      </c>
      <c r="AA180" s="1126" t="e">
        <f t="shared" si="128"/>
        <v>#VALUE!</v>
      </c>
      <c r="AB180" s="1126" t="e">
        <f t="shared" si="129"/>
        <v>#VALUE!</v>
      </c>
      <c r="AC180" s="1126" t="e">
        <f t="shared" si="130"/>
        <v>#VALUE!</v>
      </c>
      <c r="AD180" s="1128" t="e">
        <f t="shared" si="131"/>
        <v>#VALUE!</v>
      </c>
      <c r="AE180" s="1128">
        <f t="shared" si="132"/>
        <v>0</v>
      </c>
      <c r="AF180" s="1096">
        <f>IF(H180&gt;8,tab!$B$51,tab!$B$54)</f>
        <v>0.5</v>
      </c>
      <c r="AG180" s="1097">
        <f t="shared" si="133"/>
        <v>0</v>
      </c>
      <c r="AH180" s="1093">
        <f t="shared" si="134"/>
        <v>0</v>
      </c>
    </row>
    <row r="181" spans="3:34" x14ac:dyDescent="0.3">
      <c r="C181" s="114"/>
      <c r="D181" s="166"/>
      <c r="E181" s="212"/>
      <c r="F181" s="372"/>
      <c r="G181" s="373"/>
      <c r="H181" s="116"/>
      <c r="I181" s="116"/>
      <c r="J181" s="919">
        <f>SUM(J171:J180)</f>
        <v>1</v>
      </c>
      <c r="K181" s="372"/>
      <c r="L181" s="1039">
        <f t="shared" ref="L181:M181" si="136">SUM(L171:L180)</f>
        <v>130</v>
      </c>
      <c r="M181" s="1039">
        <f t="shared" si="136"/>
        <v>170</v>
      </c>
      <c r="N181" s="1039">
        <f>SUM(N171:N180)</f>
        <v>40</v>
      </c>
      <c r="O181" s="1039"/>
      <c r="P181" s="1039">
        <f t="shared" ref="P181" si="137">SUM(P171:P180)</f>
        <v>340</v>
      </c>
      <c r="Q181" s="372"/>
      <c r="R181" s="920">
        <f t="shared" ref="R181:T181" si="138">SUM(R171:R180)</f>
        <v>69150.900542495481</v>
      </c>
      <c r="S181" s="921">
        <f t="shared" si="138"/>
        <v>12910.090415913201</v>
      </c>
      <c r="T181" s="920">
        <f t="shared" si="138"/>
        <v>82060.990958408685</v>
      </c>
      <c r="U181" s="371"/>
      <c r="V181" s="1063"/>
      <c r="W181" s="1063"/>
      <c r="Y181" s="1098">
        <f>SUM(Y171:Y180)</f>
        <v>4530</v>
      </c>
      <c r="Z181" s="1130"/>
      <c r="AA181" s="1098">
        <f t="shared" si="128"/>
        <v>32.766726943942132</v>
      </c>
      <c r="AB181" s="1098"/>
      <c r="AC181" s="1098"/>
      <c r="AG181" s="1099"/>
      <c r="AH181" s="1100"/>
    </row>
    <row r="186" spans="3:34" x14ac:dyDescent="0.3">
      <c r="D186" s="1267"/>
      <c r="F186" s="1268"/>
    </row>
    <row r="187" spans="3:34" x14ac:dyDescent="0.3">
      <c r="D187" s="1260" t="s">
        <v>144</v>
      </c>
      <c r="F187" s="1233" t="s">
        <v>586</v>
      </c>
    </row>
    <row r="188" spans="3:34" x14ac:dyDescent="0.3">
      <c r="D188" s="1260" t="s">
        <v>145</v>
      </c>
      <c r="F188" s="1233" t="s">
        <v>587</v>
      </c>
    </row>
    <row r="189" spans="3:34" x14ac:dyDescent="0.3">
      <c r="D189" s="1260" t="s">
        <v>146</v>
      </c>
      <c r="F189" s="1233" t="s">
        <v>588</v>
      </c>
    </row>
    <row r="190" spans="3:34" x14ac:dyDescent="0.3">
      <c r="D190" s="1260" t="s">
        <v>149</v>
      </c>
      <c r="F190" s="1233" t="s">
        <v>589</v>
      </c>
    </row>
    <row r="191" spans="3:34" x14ac:dyDescent="0.3">
      <c r="D191" s="1260" t="s">
        <v>141</v>
      </c>
      <c r="F191" s="1260" t="s">
        <v>144</v>
      </c>
    </row>
    <row r="192" spans="3:34" x14ac:dyDescent="0.3">
      <c r="D192" s="1260" t="s">
        <v>142</v>
      </c>
      <c r="F192" s="1260" t="s">
        <v>145</v>
      </c>
    </row>
    <row r="193" spans="4:6" x14ac:dyDescent="0.3">
      <c r="D193" s="1260" t="s">
        <v>164</v>
      </c>
      <c r="F193" s="1260" t="s">
        <v>146</v>
      </c>
    </row>
    <row r="194" spans="4:6" x14ac:dyDescent="0.3">
      <c r="D194" s="1260" t="s">
        <v>143</v>
      </c>
      <c r="F194" s="1260" t="s">
        <v>149</v>
      </c>
    </row>
    <row r="195" spans="4:6" x14ac:dyDescent="0.3">
      <c r="D195" s="1260" t="s">
        <v>165</v>
      </c>
      <c r="F195" s="1260" t="s">
        <v>590</v>
      </c>
    </row>
    <row r="196" spans="4:6" x14ac:dyDescent="0.3">
      <c r="D196" s="1260" t="s">
        <v>147</v>
      </c>
      <c r="F196" s="1260" t="s">
        <v>591</v>
      </c>
    </row>
    <row r="197" spans="4:6" x14ac:dyDescent="0.3">
      <c r="D197" s="1260" t="s">
        <v>148</v>
      </c>
      <c r="F197" s="1260" t="s">
        <v>592</v>
      </c>
    </row>
    <row r="198" spans="4:6" x14ac:dyDescent="0.3">
      <c r="D198" s="3" t="s">
        <v>168</v>
      </c>
      <c r="F198" s="1260" t="s">
        <v>593</v>
      </c>
    </row>
    <row r="199" spans="4:6" x14ac:dyDescent="0.3">
      <c r="D199" s="1235" t="s">
        <v>178</v>
      </c>
      <c r="F199" s="1260" t="s">
        <v>594</v>
      </c>
    </row>
    <row r="200" spans="4:6" x14ac:dyDescent="0.3">
      <c r="D200" s="1235" t="s">
        <v>169</v>
      </c>
      <c r="F200" s="1260" t="s">
        <v>141</v>
      </c>
    </row>
    <row r="201" spans="4:6" x14ac:dyDescent="0.3">
      <c r="D201" s="1235" t="s">
        <v>585</v>
      </c>
      <c r="F201" s="1260" t="s">
        <v>142</v>
      </c>
    </row>
    <row r="202" spans="4:6" x14ac:dyDescent="0.3">
      <c r="D202" s="1260" t="s">
        <v>562</v>
      </c>
      <c r="F202" s="1260" t="s">
        <v>164</v>
      </c>
    </row>
    <row r="203" spans="4:6" x14ac:dyDescent="0.3">
      <c r="D203" s="1260" t="s">
        <v>563</v>
      </c>
      <c r="F203" s="1260" t="s">
        <v>143</v>
      </c>
    </row>
    <row r="204" spans="4:6" x14ac:dyDescent="0.3">
      <c r="D204" s="1260" t="s">
        <v>564</v>
      </c>
      <c r="F204" s="1260" t="s">
        <v>165</v>
      </c>
    </row>
    <row r="205" spans="4:6" x14ac:dyDescent="0.3">
      <c r="D205" s="1260" t="s">
        <v>565</v>
      </c>
      <c r="F205" s="1260" t="s">
        <v>147</v>
      </c>
    </row>
    <row r="206" spans="4:6" x14ac:dyDescent="0.3">
      <c r="D206" s="1260" t="s">
        <v>566</v>
      </c>
      <c r="F206" s="1260" t="s">
        <v>148</v>
      </c>
    </row>
    <row r="207" spans="4:6" x14ac:dyDescent="0.3">
      <c r="D207" s="1235" t="s">
        <v>166</v>
      </c>
      <c r="F207" s="3" t="s">
        <v>168</v>
      </c>
    </row>
    <row r="208" spans="4:6" x14ac:dyDescent="0.3">
      <c r="D208" s="1235" t="s">
        <v>167</v>
      </c>
      <c r="F208" s="1235" t="s">
        <v>178</v>
      </c>
    </row>
    <row r="209" spans="4:6" x14ac:dyDescent="0.3">
      <c r="D209" s="1262" t="s">
        <v>313</v>
      </c>
      <c r="F209" s="1235" t="s">
        <v>169</v>
      </c>
    </row>
    <row r="210" spans="4:6" x14ac:dyDescent="0.3">
      <c r="D210" s="1262" t="s">
        <v>308</v>
      </c>
      <c r="F210" s="1235" t="s">
        <v>585</v>
      </c>
    </row>
    <row r="211" spans="4:6" x14ac:dyDescent="0.3">
      <c r="D211" s="1262" t="s">
        <v>309</v>
      </c>
      <c r="F211" s="1260" t="s">
        <v>562</v>
      </c>
    </row>
    <row r="212" spans="4:6" x14ac:dyDescent="0.3">
      <c r="D212" s="1262" t="s">
        <v>567</v>
      </c>
      <c r="F212" s="1260" t="s">
        <v>563</v>
      </c>
    </row>
    <row r="213" spans="4:6" x14ac:dyDescent="0.3">
      <c r="D213" s="1262" t="s">
        <v>310</v>
      </c>
      <c r="F213" s="1260" t="s">
        <v>564</v>
      </c>
    </row>
    <row r="214" spans="4:6" x14ac:dyDescent="0.3">
      <c r="D214" s="1235">
        <v>1</v>
      </c>
      <c r="F214" s="1260" t="s">
        <v>565</v>
      </c>
    </row>
    <row r="215" spans="4:6" x14ac:dyDescent="0.3">
      <c r="D215" s="1235">
        <v>2</v>
      </c>
      <c r="F215" s="1260" t="s">
        <v>566</v>
      </c>
    </row>
    <row r="216" spans="4:6" x14ac:dyDescent="0.3">
      <c r="D216" s="1235">
        <v>3</v>
      </c>
      <c r="F216" s="1235" t="s">
        <v>166</v>
      </c>
    </row>
    <row r="217" spans="4:6" x14ac:dyDescent="0.3">
      <c r="D217" s="1235">
        <v>4</v>
      </c>
      <c r="F217" s="1235" t="s">
        <v>167</v>
      </c>
    </row>
    <row r="218" spans="4:6" x14ac:dyDescent="0.3">
      <c r="D218" s="1235">
        <v>5</v>
      </c>
      <c r="F218" s="1262" t="s">
        <v>313</v>
      </c>
    </row>
    <row r="219" spans="4:6" x14ac:dyDescent="0.3">
      <c r="D219" s="1235">
        <v>6</v>
      </c>
      <c r="F219" s="1262" t="s">
        <v>308</v>
      </c>
    </row>
    <row r="220" spans="4:6" x14ac:dyDescent="0.3">
      <c r="D220" s="1235">
        <v>7</v>
      </c>
      <c r="F220" s="1262" t="s">
        <v>309</v>
      </c>
    </row>
    <row r="221" spans="4:6" x14ac:dyDescent="0.3">
      <c r="D221" s="1235">
        <v>8</v>
      </c>
      <c r="F221" s="1262" t="s">
        <v>567</v>
      </c>
    </row>
    <row r="222" spans="4:6" x14ac:dyDescent="0.3">
      <c r="D222" s="1235">
        <v>9</v>
      </c>
      <c r="F222" s="1262" t="s">
        <v>310</v>
      </c>
    </row>
    <row r="223" spans="4:6" x14ac:dyDescent="0.3">
      <c r="D223" s="1235">
        <v>10</v>
      </c>
      <c r="F223" s="1235">
        <v>1</v>
      </c>
    </row>
    <row r="224" spans="4:6" x14ac:dyDescent="0.3">
      <c r="D224" s="1235">
        <v>11</v>
      </c>
      <c r="F224" s="1235">
        <v>2</v>
      </c>
    </row>
    <row r="225" spans="4:6" x14ac:dyDescent="0.3">
      <c r="D225" s="1235">
        <v>12</v>
      </c>
      <c r="F225" s="1235">
        <v>3</v>
      </c>
    </row>
    <row r="226" spans="4:6" x14ac:dyDescent="0.3">
      <c r="D226" s="1235">
        <v>13</v>
      </c>
      <c r="F226" s="1235">
        <v>4</v>
      </c>
    </row>
    <row r="227" spans="4:6" x14ac:dyDescent="0.3">
      <c r="D227" s="1235">
        <v>14</v>
      </c>
      <c r="F227" s="1235">
        <v>5</v>
      </c>
    </row>
    <row r="228" spans="4:6" x14ac:dyDescent="0.3">
      <c r="D228" s="1235">
        <v>15</v>
      </c>
      <c r="F228" s="1235">
        <v>6</v>
      </c>
    </row>
    <row r="229" spans="4:6" x14ac:dyDescent="0.3">
      <c r="D229" s="1235">
        <v>16</v>
      </c>
      <c r="F229" s="1235">
        <v>7</v>
      </c>
    </row>
    <row r="230" spans="4:6" x14ac:dyDescent="0.3">
      <c r="F230" s="1235">
        <v>8</v>
      </c>
    </row>
    <row r="231" spans="4:6" x14ac:dyDescent="0.3">
      <c r="F231" s="1235">
        <v>9</v>
      </c>
    </row>
    <row r="232" spans="4:6" x14ac:dyDescent="0.3">
      <c r="F232" s="1235">
        <v>10</v>
      </c>
    </row>
    <row r="233" spans="4:6" x14ac:dyDescent="0.3">
      <c r="F233" s="1235">
        <v>11</v>
      </c>
    </row>
    <row r="234" spans="4:6" x14ac:dyDescent="0.3">
      <c r="F234" s="1235">
        <v>12</v>
      </c>
    </row>
    <row r="235" spans="4:6" x14ac:dyDescent="0.3">
      <c r="F235" s="1235">
        <v>13</v>
      </c>
    </row>
    <row r="236" spans="4:6" x14ac:dyDescent="0.3">
      <c r="F236" s="1235">
        <v>14</v>
      </c>
    </row>
    <row r="237" spans="4:6" x14ac:dyDescent="0.3">
      <c r="F237" s="1235">
        <v>15</v>
      </c>
    </row>
    <row r="238" spans="4:6" x14ac:dyDescent="0.3">
      <c r="F238" s="1235">
        <v>16</v>
      </c>
    </row>
  </sheetData>
  <sheetProtection algorithmName="SHA-512" hashValue="xkr7Hcs9pwtGjG+13NFs8G6q8dOXE6eQHfVQdDKLvooyFe9w7+1VtsYxfFJ699HVCGSnhpUk5lCUSeFcStCEKQ==" saltValue="GAQFNhsMM1gx9nhzzmhqoQ==" spinCount="100000" sheet="1" objects="1" scenarios="1"/>
  <phoneticPr fontId="0" type="noConversion"/>
  <dataValidations count="4">
    <dataValidation type="list" allowBlank="1" showInputMessage="1" showErrorMessage="1" sqref="H95:H99 H117:H121 H160:H162" xr:uid="{00000000-0002-0000-0300-000000000000}">
      <formula1>"LIOa,LIOb,J1,J2,J3,J4,J5,J6,1,2,3,4,5,6,7,8,9,10,11,12,13,14,15,LA,LB,LC,LD,LE,ID1,ID2,ID3"</formula1>
    </dataValidation>
    <dataValidation type="list" allowBlank="1" showInputMessage="1" showErrorMessage="1" sqref="H105:H114 H39:H47 H83:H92 H127:H136 H61:H70 H16:H25 H149:H158 H171:H180" xr:uid="{00000000-0002-0000-0300-000001000000}">
      <formula1>$D$186:$D$229</formula1>
    </dataValidation>
    <dataValidation type="list" allowBlank="1" showInputMessage="1" showErrorMessage="1" sqref="H73:H77 H50:H55" xr:uid="{00000000-0002-0000-0300-000002000000}">
      <formula1>"LA,LB,LC,LD,LE"</formula1>
    </dataValidation>
    <dataValidation type="list" allowBlank="1" showInputMessage="1" showErrorMessage="1" sqref="H38" xr:uid="{00000000-0002-0000-0300-000003000000}">
      <formula1>$F$186:$F$238</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9"/>
  <dimension ref="B1:AX475"/>
  <sheetViews>
    <sheetView showGridLines="0" zoomScale="90" zoomScaleNormal="90" workbookViewId="0">
      <pane ySplit="15" topLeftCell="A59" activePane="bottomLeft" state="frozen"/>
      <selection activeCell="AA31" sqref="AA31"/>
      <selection pane="bottomLeft" activeCell="G10" sqref="G10"/>
    </sheetView>
  </sheetViews>
  <sheetFormatPr defaultColWidth="9.109375" defaultRowHeight="13.8" x14ac:dyDescent="0.3"/>
  <cols>
    <col min="1" max="1" width="3.6640625" style="410" customWidth="1"/>
    <col min="2" max="3" width="2.6640625" style="410" customWidth="1"/>
    <col min="4" max="4" width="9.109375" style="440" customWidth="1"/>
    <col min="5" max="5" width="21.109375" style="440" customWidth="1"/>
    <col min="6" max="6" width="8.6640625" style="536" customWidth="1"/>
    <col min="7" max="7" width="8.6640625" style="692" customWidth="1"/>
    <col min="8" max="9" width="8.6640625" style="693" customWidth="1"/>
    <col min="10" max="10" width="8.6640625" style="694" customWidth="1"/>
    <col min="11" max="11" width="0.88671875" style="410" customWidth="1"/>
    <col min="12" max="16" width="10.88671875" style="693" customWidth="1"/>
    <col min="17" max="17" width="0.88671875" style="410" customWidth="1"/>
    <col min="18" max="18" width="10.88671875" style="182" customWidth="1"/>
    <col min="19" max="19" width="10.88671875" style="537" customWidth="1"/>
    <col min="20" max="20" width="10.88671875" style="534" customWidth="1"/>
    <col min="21" max="22" width="2.6640625" style="410" customWidth="1"/>
    <col min="23" max="23" width="15.33203125" style="887" customWidth="1"/>
    <col min="24" max="24" width="12.6640625" style="1040" customWidth="1"/>
    <col min="25" max="25" width="9.6640625" style="1065" customWidth="1"/>
    <col min="26" max="29" width="10.88671875" style="1063" customWidth="1"/>
    <col min="30" max="32" width="8.88671875" style="1063" customWidth="1"/>
    <col min="33" max="33" width="9.6640625" style="1068" customWidth="1"/>
    <col min="34" max="34" width="8.6640625" style="1069" customWidth="1"/>
    <col min="35" max="36" width="8.88671875" style="1066" customWidth="1"/>
    <col min="37" max="38" width="8.88671875" style="1041" customWidth="1"/>
    <col min="39" max="39" width="8.88671875" style="1052" customWidth="1"/>
    <col min="40" max="43" width="8.88671875" style="1040" customWidth="1"/>
    <col min="44" max="44" width="8.88671875" style="887" customWidth="1"/>
    <col min="45" max="46" width="8.88671875" style="410" customWidth="1"/>
    <col min="47" max="47" width="8.88671875" style="536" customWidth="1"/>
    <col min="48" max="48" width="8.88671875" style="535" customWidth="1"/>
    <col min="49" max="82" width="8.88671875" style="410" customWidth="1"/>
    <col min="83" max="16384" width="9.109375" style="410"/>
  </cols>
  <sheetData>
    <row r="1" spans="2:50" ht="12.75" customHeight="1" x14ac:dyDescent="0.3"/>
    <row r="2" spans="2:50" x14ac:dyDescent="0.3">
      <c r="B2" s="418"/>
      <c r="C2" s="419"/>
      <c r="D2" s="697"/>
      <c r="E2" s="697"/>
      <c r="F2" s="538"/>
      <c r="G2" s="698"/>
      <c r="H2" s="699"/>
      <c r="I2" s="699"/>
      <c r="J2" s="700"/>
      <c r="K2" s="419"/>
      <c r="L2" s="699"/>
      <c r="M2" s="699"/>
      <c r="N2" s="699"/>
      <c r="O2" s="699"/>
      <c r="P2" s="699"/>
      <c r="Q2" s="419"/>
      <c r="R2" s="390"/>
      <c r="S2" s="701"/>
      <c r="T2" s="775"/>
      <c r="U2" s="419"/>
      <c r="V2" s="421"/>
    </row>
    <row r="3" spans="2:50" x14ac:dyDescent="0.3">
      <c r="B3" s="422"/>
      <c r="C3" s="423"/>
      <c r="D3" s="702"/>
      <c r="E3" s="702"/>
      <c r="F3" s="539"/>
      <c r="G3" s="703"/>
      <c r="H3" s="704"/>
      <c r="I3" s="704"/>
      <c r="J3" s="705"/>
      <c r="K3" s="423"/>
      <c r="L3" s="704"/>
      <c r="M3" s="704"/>
      <c r="N3" s="704"/>
      <c r="O3" s="704"/>
      <c r="P3" s="704"/>
      <c r="Q3" s="423"/>
      <c r="R3" s="162"/>
      <c r="S3" s="706"/>
      <c r="T3" s="776"/>
      <c r="U3" s="423"/>
      <c r="V3" s="425"/>
    </row>
    <row r="4" spans="2:50" s="273" customFormat="1" ht="18" x14ac:dyDescent="0.35">
      <c r="B4" s="861"/>
      <c r="C4" s="833" t="s">
        <v>283</v>
      </c>
      <c r="D4" s="315"/>
      <c r="E4" s="315"/>
      <c r="F4" s="311"/>
      <c r="G4" s="312"/>
      <c r="H4" s="313"/>
      <c r="I4" s="313"/>
      <c r="J4" s="314"/>
      <c r="K4" s="315"/>
      <c r="L4" s="313"/>
      <c r="M4" s="313"/>
      <c r="N4" s="313"/>
      <c r="O4" s="313"/>
      <c r="P4" s="313"/>
      <c r="Q4" s="315"/>
      <c r="R4" s="391"/>
      <c r="S4" s="316"/>
      <c r="T4" s="862"/>
      <c r="U4" s="315"/>
      <c r="V4" s="317"/>
      <c r="W4" s="951"/>
      <c r="X4" s="1042"/>
      <c r="Y4" s="1070"/>
      <c r="Z4" s="1132"/>
      <c r="AA4" s="1071"/>
      <c r="AB4" s="1071"/>
      <c r="AC4" s="1071"/>
      <c r="AD4" s="1071"/>
      <c r="AE4" s="1071"/>
      <c r="AF4" s="1071"/>
      <c r="AG4" s="1074"/>
      <c r="AH4" s="1073"/>
      <c r="AI4" s="1117"/>
      <c r="AJ4" s="1117"/>
      <c r="AK4" s="1053"/>
      <c r="AL4" s="1053"/>
      <c r="AM4" s="1054"/>
      <c r="AN4" s="1043"/>
      <c r="AO4" s="1043"/>
      <c r="AP4" s="1043"/>
      <c r="AQ4" s="1043"/>
      <c r="AR4" s="952"/>
      <c r="AS4" s="274"/>
      <c r="AT4" s="276"/>
      <c r="AU4" s="277"/>
      <c r="AV4" s="275"/>
    </row>
    <row r="5" spans="2:50" s="278" customFormat="1" ht="18" x14ac:dyDescent="0.35">
      <c r="B5" s="318"/>
      <c r="C5" s="319" t="str">
        <f>geg!F11</f>
        <v>Voorbeeldschool</v>
      </c>
      <c r="D5" s="326"/>
      <c r="E5" s="326"/>
      <c r="F5" s="322"/>
      <c r="G5" s="323"/>
      <c r="H5" s="324"/>
      <c r="I5" s="324"/>
      <c r="J5" s="325"/>
      <c r="K5" s="326"/>
      <c r="L5" s="324"/>
      <c r="M5" s="324"/>
      <c r="N5" s="324"/>
      <c r="O5" s="324"/>
      <c r="P5" s="324"/>
      <c r="Q5" s="326"/>
      <c r="R5" s="391"/>
      <c r="S5" s="327"/>
      <c r="T5" s="777"/>
      <c r="U5" s="326"/>
      <c r="V5" s="328"/>
      <c r="W5" s="951"/>
      <c r="X5" s="1042"/>
      <c r="Y5" s="1070"/>
      <c r="Z5" s="1132"/>
      <c r="AA5" s="1071"/>
      <c r="AB5" s="1071"/>
      <c r="AC5" s="1071"/>
      <c r="AD5" s="1071"/>
      <c r="AE5" s="1071"/>
      <c r="AF5" s="1071"/>
      <c r="AG5" s="1074"/>
      <c r="AH5" s="1073"/>
      <c r="AI5" s="1117"/>
      <c r="AJ5" s="1117"/>
      <c r="AK5" s="1053"/>
      <c r="AL5" s="1053"/>
      <c r="AM5" s="1054"/>
      <c r="AN5" s="1043"/>
      <c r="AO5" s="1043"/>
      <c r="AP5" s="1043"/>
      <c r="AQ5" s="1043"/>
      <c r="AR5" s="952"/>
      <c r="AS5" s="279"/>
      <c r="AT5" s="281"/>
      <c r="AU5" s="282"/>
      <c r="AV5" s="280"/>
    </row>
    <row r="6" spans="2:50" ht="12.75" customHeight="1" x14ac:dyDescent="0.3">
      <c r="B6" s="422"/>
      <c r="C6" s="423"/>
      <c r="D6" s="423"/>
      <c r="E6" s="423"/>
      <c r="F6" s="539"/>
      <c r="G6" s="703"/>
      <c r="H6" s="704"/>
      <c r="I6" s="704"/>
      <c r="J6" s="705"/>
      <c r="K6" s="423"/>
      <c r="L6" s="704"/>
      <c r="M6" s="704"/>
      <c r="N6" s="704"/>
      <c r="O6" s="704"/>
      <c r="P6" s="704"/>
      <c r="Q6" s="423"/>
      <c r="R6" s="162"/>
      <c r="S6" s="706"/>
      <c r="T6" s="776"/>
      <c r="U6" s="423"/>
      <c r="V6" s="425"/>
      <c r="AN6" s="1044"/>
      <c r="AO6" s="1044"/>
      <c r="AP6" s="1044"/>
      <c r="AQ6" s="1044"/>
      <c r="AR6" s="953"/>
      <c r="AS6" s="693"/>
      <c r="AT6" s="695"/>
      <c r="AU6" s="707"/>
      <c r="AV6" s="694"/>
    </row>
    <row r="7" spans="2:50" ht="12.75" customHeight="1" x14ac:dyDescent="0.3">
      <c r="B7" s="422"/>
      <c r="C7" s="423"/>
      <c r="D7" s="423"/>
      <c r="E7" s="423"/>
      <c r="F7" s="539"/>
      <c r="G7" s="703"/>
      <c r="H7" s="704"/>
      <c r="I7" s="704"/>
      <c r="J7" s="705"/>
      <c r="K7" s="423"/>
      <c r="L7" s="704"/>
      <c r="M7" s="704"/>
      <c r="N7" s="704"/>
      <c r="O7" s="704"/>
      <c r="P7" s="704"/>
      <c r="Q7" s="423"/>
      <c r="R7" s="162"/>
      <c r="S7" s="706"/>
      <c r="T7" s="776"/>
      <c r="U7" s="423"/>
      <c r="V7" s="425"/>
      <c r="AN7" s="1044"/>
      <c r="AO7" s="1044"/>
      <c r="AP7" s="1044"/>
      <c r="AQ7" s="1044"/>
      <c r="AR7" s="953"/>
      <c r="AS7" s="693"/>
      <c r="AT7" s="695"/>
      <c r="AU7" s="707"/>
      <c r="AV7" s="694"/>
    </row>
    <row r="8" spans="2:50" s="284" customFormat="1" ht="12.75" customHeight="1" x14ac:dyDescent="0.3">
      <c r="B8" s="329"/>
      <c r="C8" s="423" t="s">
        <v>180</v>
      </c>
      <c r="D8" s="702"/>
      <c r="E8" s="553" t="str">
        <f>dir!E8</f>
        <v>2020/21</v>
      </c>
      <c r="F8" s="333"/>
      <c r="G8" s="334"/>
      <c r="H8" s="335"/>
      <c r="I8" s="335"/>
      <c r="J8" s="336"/>
      <c r="K8" s="330"/>
      <c r="L8" s="335"/>
      <c r="M8" s="335"/>
      <c r="N8" s="335"/>
      <c r="O8" s="335"/>
      <c r="P8" s="335"/>
      <c r="Q8" s="330"/>
      <c r="R8" s="392"/>
      <c r="S8" s="337"/>
      <c r="T8" s="652"/>
      <c r="U8" s="330"/>
      <c r="V8" s="338"/>
      <c r="W8" s="954"/>
      <c r="X8" s="1045"/>
      <c r="Y8" s="1081"/>
      <c r="Z8" s="1082"/>
      <c r="AA8" s="1082"/>
      <c r="AB8" s="1082"/>
      <c r="AC8" s="1082"/>
      <c r="AD8" s="1082"/>
      <c r="AE8" s="1082"/>
      <c r="AF8" s="1082"/>
      <c r="AG8" s="1085"/>
      <c r="AH8" s="1086"/>
      <c r="AI8" s="1118"/>
      <c r="AJ8" s="1118"/>
      <c r="AK8" s="1055"/>
      <c r="AL8" s="1055"/>
      <c r="AM8" s="1056"/>
      <c r="AN8" s="1046"/>
      <c r="AO8" s="1046"/>
      <c r="AP8" s="1046"/>
      <c r="AQ8" s="1046"/>
      <c r="AR8" s="955"/>
      <c r="AS8" s="285"/>
      <c r="AT8" s="287"/>
      <c r="AU8" s="288"/>
      <c r="AV8" s="286"/>
    </row>
    <row r="9" spans="2:50" ht="12.75" customHeight="1" x14ac:dyDescent="0.3">
      <c r="B9" s="422"/>
      <c r="C9" s="423" t="s">
        <v>193</v>
      </c>
      <c r="D9" s="702"/>
      <c r="E9" s="708">
        <f>dir!E9</f>
        <v>44105</v>
      </c>
      <c r="F9" s="64"/>
      <c r="G9" s="340"/>
      <c r="H9" s="704"/>
      <c r="I9" s="704"/>
      <c r="J9" s="705"/>
      <c r="K9" s="423"/>
      <c r="L9" s="704"/>
      <c r="M9" s="704"/>
      <c r="N9" s="704"/>
      <c r="O9" s="704"/>
      <c r="P9" s="704"/>
      <c r="Q9" s="423"/>
      <c r="R9" s="162"/>
      <c r="S9" s="706"/>
      <c r="T9" s="776"/>
      <c r="U9" s="423"/>
      <c r="V9" s="425"/>
      <c r="AI9" s="1091"/>
      <c r="AJ9" s="1091"/>
      <c r="AN9" s="1044"/>
      <c r="AO9" s="1044"/>
      <c r="AP9" s="1044"/>
      <c r="AQ9" s="1044"/>
      <c r="AR9" s="953"/>
      <c r="AS9" s="693"/>
      <c r="AT9" s="695"/>
      <c r="AU9" s="707"/>
      <c r="AV9" s="694"/>
    </row>
    <row r="10" spans="2:50" ht="12.75" customHeight="1" x14ac:dyDescent="0.3">
      <c r="B10" s="422"/>
      <c r="C10" s="423"/>
      <c r="D10" s="681"/>
      <c r="E10" s="654"/>
      <c r="F10" s="64"/>
      <c r="G10" s="49" t="s">
        <v>636</v>
      </c>
      <c r="H10" s="704"/>
      <c r="I10" s="704"/>
      <c r="J10" s="705"/>
      <c r="K10" s="423"/>
      <c r="L10" s="704"/>
      <c r="M10" s="704"/>
      <c r="N10" s="704"/>
      <c r="O10" s="704"/>
      <c r="P10" s="704"/>
      <c r="Q10" s="423"/>
      <c r="R10" s="162"/>
      <c r="S10" s="706"/>
      <c r="T10" s="776"/>
      <c r="U10" s="423"/>
      <c r="V10" s="425"/>
      <c r="AI10" s="1091"/>
      <c r="AJ10" s="1091"/>
      <c r="AN10" s="1044"/>
      <c r="AO10" s="1044"/>
      <c r="AP10" s="1044"/>
      <c r="AQ10" s="1044"/>
      <c r="AR10" s="953"/>
      <c r="AS10" s="693"/>
      <c r="AT10" s="695"/>
      <c r="AU10" s="707"/>
      <c r="AV10" s="694"/>
    </row>
    <row r="11" spans="2:50" ht="12.75" customHeight="1" x14ac:dyDescent="0.3">
      <c r="B11" s="422"/>
      <c r="C11" s="682"/>
      <c r="D11" s="937"/>
      <c r="E11" s="938"/>
      <c r="F11" s="939"/>
      <c r="G11" s="940"/>
      <c r="H11" s="941"/>
      <c r="I11" s="941"/>
      <c r="J11" s="942"/>
      <c r="K11" s="943"/>
      <c r="L11" s="941"/>
      <c r="M11" s="941"/>
      <c r="N11" s="941"/>
      <c r="O11" s="941"/>
      <c r="P11" s="941"/>
      <c r="Q11" s="943"/>
      <c r="R11" s="943"/>
      <c r="S11" s="944"/>
      <c r="T11" s="945"/>
      <c r="U11" s="438"/>
      <c r="V11" s="425"/>
      <c r="AN11" s="1044"/>
      <c r="AO11" s="1044"/>
      <c r="AP11" s="1044"/>
      <c r="AQ11" s="1044"/>
      <c r="AR11" s="953"/>
      <c r="AS11" s="693"/>
      <c r="AT11" s="695"/>
      <c r="AU11" s="707"/>
      <c r="AV11" s="694"/>
    </row>
    <row r="12" spans="2:50" s="129" customFormat="1" ht="12.75" customHeight="1" x14ac:dyDescent="0.3">
      <c r="B12" s="134"/>
      <c r="C12" s="125"/>
      <c r="D12" s="882" t="s">
        <v>284</v>
      </c>
      <c r="E12" s="883"/>
      <c r="F12" s="883"/>
      <c r="G12" s="883"/>
      <c r="H12" s="883"/>
      <c r="I12" s="883"/>
      <c r="J12" s="883"/>
      <c r="K12" s="902"/>
      <c r="L12" s="1033" t="s">
        <v>502</v>
      </c>
      <c r="M12" s="1035"/>
      <c r="N12" s="1033"/>
      <c r="O12" s="1033"/>
      <c r="P12" s="1133"/>
      <c r="Q12" s="902"/>
      <c r="R12" s="1033" t="s">
        <v>503</v>
      </c>
      <c r="S12" s="1036"/>
      <c r="T12" s="1134"/>
      <c r="U12" s="1135"/>
      <c r="V12" s="383"/>
      <c r="W12" s="384"/>
      <c r="X12" s="384"/>
      <c r="Y12" s="1063"/>
      <c r="Z12" s="1136"/>
      <c r="AA12" s="1063"/>
      <c r="AB12" s="1063"/>
      <c r="AC12" s="1063"/>
      <c r="AD12" s="1137"/>
      <c r="AE12" s="1137"/>
      <c r="AF12" s="1064"/>
      <c r="AG12" s="1090"/>
      <c r="AH12" s="1091"/>
      <c r="AI12" s="1119"/>
      <c r="AJ12" s="1119"/>
      <c r="AK12" s="1057"/>
      <c r="AL12" s="1057"/>
      <c r="AM12" s="1057"/>
      <c r="AN12" s="1040"/>
      <c r="AO12" s="1040"/>
      <c r="AP12" s="1040"/>
      <c r="AQ12" s="1040"/>
      <c r="AR12" s="887"/>
      <c r="AW12" s="384"/>
      <c r="AX12" s="384"/>
    </row>
    <row r="13" spans="2:50" s="129" customFormat="1" ht="12.75" customHeight="1" x14ac:dyDescent="0.3">
      <c r="B13" s="134"/>
      <c r="C13" s="125"/>
      <c r="D13" s="877" t="s">
        <v>494</v>
      </c>
      <c r="E13" s="877" t="s">
        <v>181</v>
      </c>
      <c r="F13" s="904" t="s">
        <v>137</v>
      </c>
      <c r="G13" s="905" t="s">
        <v>273</v>
      </c>
      <c r="H13" s="904" t="s">
        <v>206</v>
      </c>
      <c r="I13" s="904" t="s">
        <v>225</v>
      </c>
      <c r="J13" s="906" t="s">
        <v>140</v>
      </c>
      <c r="K13" s="881"/>
      <c r="L13" s="907" t="s">
        <v>479</v>
      </c>
      <c r="M13" s="907" t="s">
        <v>480</v>
      </c>
      <c r="N13" s="907" t="s">
        <v>478</v>
      </c>
      <c r="O13" s="907" t="s">
        <v>479</v>
      </c>
      <c r="P13" s="1138" t="s">
        <v>504</v>
      </c>
      <c r="Q13" s="881"/>
      <c r="R13" s="1037" t="s">
        <v>192</v>
      </c>
      <c r="S13" s="909" t="s">
        <v>505</v>
      </c>
      <c r="T13" s="910" t="s">
        <v>192</v>
      </c>
      <c r="U13" s="1139"/>
      <c r="V13" s="385"/>
      <c r="W13" s="386"/>
      <c r="X13" s="386"/>
      <c r="Y13" s="915" t="s">
        <v>303</v>
      </c>
      <c r="Z13" s="1127" t="s">
        <v>497</v>
      </c>
      <c r="AA13" s="1101" t="s">
        <v>498</v>
      </c>
      <c r="AB13" s="1101" t="s">
        <v>498</v>
      </c>
      <c r="AC13" s="1101" t="s">
        <v>495</v>
      </c>
      <c r="AD13" s="1048" t="s">
        <v>488</v>
      </c>
      <c r="AE13" s="1048" t="s">
        <v>489</v>
      </c>
      <c r="AF13" s="916" t="s">
        <v>490</v>
      </c>
      <c r="AG13" s="1092" t="s">
        <v>297</v>
      </c>
      <c r="AH13" s="1091" t="s">
        <v>427</v>
      </c>
      <c r="AI13" s="916" t="s">
        <v>278</v>
      </c>
      <c r="AJ13" s="916" t="s">
        <v>279</v>
      </c>
      <c r="AK13" s="1059" t="s">
        <v>139</v>
      </c>
      <c r="AL13" s="1059" t="s">
        <v>204</v>
      </c>
      <c r="AM13" s="1058" t="s">
        <v>188</v>
      </c>
      <c r="AN13" s="1040"/>
      <c r="AO13" s="1040"/>
      <c r="AP13" s="1040"/>
      <c r="AQ13" s="1040"/>
      <c r="AR13" s="887"/>
      <c r="AW13" s="384"/>
      <c r="AX13" s="386"/>
    </row>
    <row r="14" spans="2:50" s="129" customFormat="1" ht="12.75" customHeight="1" x14ac:dyDescent="0.3">
      <c r="B14" s="134"/>
      <c r="C14" s="125"/>
      <c r="D14" s="883"/>
      <c r="E14" s="877"/>
      <c r="F14" s="904" t="s">
        <v>138</v>
      </c>
      <c r="G14" s="905" t="s">
        <v>274</v>
      </c>
      <c r="H14" s="904"/>
      <c r="I14" s="904"/>
      <c r="J14" s="906" t="s">
        <v>277</v>
      </c>
      <c r="K14" s="881"/>
      <c r="L14" s="907" t="s">
        <v>482</v>
      </c>
      <c r="M14" s="907" t="s">
        <v>483</v>
      </c>
      <c r="N14" s="907" t="s">
        <v>481</v>
      </c>
      <c r="O14" s="907" t="s">
        <v>493</v>
      </c>
      <c r="P14" s="1138" t="s">
        <v>269</v>
      </c>
      <c r="Q14" s="881"/>
      <c r="R14" s="908" t="s">
        <v>506</v>
      </c>
      <c r="S14" s="909" t="s">
        <v>484</v>
      </c>
      <c r="T14" s="910" t="s">
        <v>269</v>
      </c>
      <c r="U14" s="887"/>
      <c r="V14" s="135"/>
      <c r="Y14" s="915" t="s">
        <v>197</v>
      </c>
      <c r="Z14" s="918">
        <f>tab!$B$50</f>
        <v>0.6</v>
      </c>
      <c r="AA14" s="1101" t="s">
        <v>499</v>
      </c>
      <c r="AB14" s="1101" t="s">
        <v>500</v>
      </c>
      <c r="AC14" s="1101" t="s">
        <v>501</v>
      </c>
      <c r="AD14" s="1048" t="s">
        <v>491</v>
      </c>
      <c r="AE14" s="1048" t="s">
        <v>491</v>
      </c>
      <c r="AF14" s="916" t="s">
        <v>492</v>
      </c>
      <c r="AG14" s="1092"/>
      <c r="AH14" s="1093" t="s">
        <v>224</v>
      </c>
      <c r="AI14" s="1048" t="s">
        <v>275</v>
      </c>
      <c r="AJ14" s="1048" t="s">
        <v>275</v>
      </c>
      <c r="AK14" s="1059"/>
      <c r="AL14" s="1059" t="s">
        <v>188</v>
      </c>
      <c r="AM14" s="1058"/>
      <c r="AN14" s="1040"/>
      <c r="AO14" s="1040"/>
      <c r="AP14" s="1040"/>
      <c r="AQ14" s="1040"/>
      <c r="AR14" s="887"/>
      <c r="AX14" s="675"/>
    </row>
    <row r="15" spans="2:50" ht="12.75" customHeight="1" x14ac:dyDescent="0.3">
      <c r="B15" s="422"/>
      <c r="C15" s="122"/>
      <c r="D15" s="883"/>
      <c r="E15" s="883"/>
      <c r="F15" s="946"/>
      <c r="G15" s="947"/>
      <c r="H15" s="904"/>
      <c r="I15" s="904"/>
      <c r="J15" s="906"/>
      <c r="K15" s="883"/>
      <c r="L15" s="907"/>
      <c r="M15" s="907"/>
      <c r="N15" s="907"/>
      <c r="O15" s="907"/>
      <c r="P15" s="907"/>
      <c r="Q15" s="883"/>
      <c r="R15" s="948"/>
      <c r="S15" s="909"/>
      <c r="T15" s="949"/>
      <c r="U15" s="443"/>
      <c r="V15" s="425"/>
      <c r="Y15" s="915"/>
      <c r="Z15" s="1064"/>
      <c r="AA15" s="1064"/>
      <c r="AB15" s="1064"/>
      <c r="AC15" s="1064"/>
      <c r="AD15" s="1048"/>
      <c r="AE15" s="1048"/>
      <c r="AG15" s="1092"/>
      <c r="AH15" s="1093"/>
      <c r="AM15" s="1058"/>
      <c r="AU15" s="410"/>
      <c r="AV15" s="410"/>
      <c r="AX15" s="709"/>
    </row>
    <row r="16" spans="2:50" ht="12.75" customHeight="1" x14ac:dyDescent="0.3">
      <c r="B16" s="422"/>
      <c r="C16" s="122"/>
      <c r="D16" s="388"/>
      <c r="E16" s="388" t="s">
        <v>510</v>
      </c>
      <c r="F16" s="684"/>
      <c r="G16" s="710">
        <v>28491</v>
      </c>
      <c r="H16" s="684" t="s">
        <v>563</v>
      </c>
      <c r="I16" s="389">
        <v>10</v>
      </c>
      <c r="J16" s="711">
        <v>1</v>
      </c>
      <c r="K16" s="472"/>
      <c r="L16" s="1049"/>
      <c r="M16" s="1049"/>
      <c r="N16" s="1051">
        <f t="shared" ref="N16" si="0">IF(J16="","",IF((J16*40)&gt;40,40,((J16*40))))</f>
        <v>40</v>
      </c>
      <c r="O16" s="1051">
        <f t="shared" ref="O16" si="1">IF(J16="","",IF(I16&lt;4,(40*J16),0))</f>
        <v>0</v>
      </c>
      <c r="P16" s="1125">
        <f t="shared" ref="P16" si="2">IF(J16="","",(SUM(L16:O16)))</f>
        <v>40</v>
      </c>
      <c r="Q16" s="472"/>
      <c r="R16" s="923">
        <f>IF(J16="","",(((1659*J16)-P16)*AB16))</f>
        <v>68452.701858951186</v>
      </c>
      <c r="S16" s="923">
        <f t="shared" ref="S16" si="3">IF(J16="","",(P16*AC16)+(AA16*AD16)+((AE16*AA16*(1-AF16))))</f>
        <v>1691.2341410488248</v>
      </c>
      <c r="T16" s="925">
        <f t="shared" ref="T16" si="4">IF(J16="","",(R16+S16))</f>
        <v>70143.936000000016</v>
      </c>
      <c r="U16" s="545"/>
      <c r="V16" s="712"/>
      <c r="W16" s="957"/>
      <c r="X16" s="1060"/>
      <c r="Y16" s="1095">
        <f t="shared" ref="Y16:Y47" si="5">ROUND(5/12*VLOOKUP(H16,salaris2019,I16+1,FALSE)+7/12*VLOOKUP(H16,salaris2020,I16+1,FALSE),2)</f>
        <v>3653.33</v>
      </c>
      <c r="Z16" s="1094">
        <f>tab!$B$50</f>
        <v>0.6</v>
      </c>
      <c r="AA16" s="1126">
        <f t="shared" ref="AA16" si="6">(Y16*12/1659)</f>
        <v>26.425533453887883</v>
      </c>
      <c r="AB16" s="1126">
        <f t="shared" ref="AB16" si="7">(Y16*12*(1+Z16))/1659</f>
        <v>42.280853526220618</v>
      </c>
      <c r="AC16" s="1126">
        <f t="shared" ref="AC16" si="8">AB16-AA16</f>
        <v>15.855320072332734</v>
      </c>
      <c r="AD16" s="1128">
        <f t="shared" ref="AD16" si="9">(N16+O16)</f>
        <v>40</v>
      </c>
      <c r="AE16" s="1128">
        <f t="shared" ref="AE16" si="10">(L16+M16)</f>
        <v>0</v>
      </c>
      <c r="AF16" s="1096">
        <f>IF(H16&gt;8,tab!$B$51,tab!$B$54)</f>
        <v>0.5</v>
      </c>
      <c r="AG16" s="1097">
        <f t="shared" ref="AG16:AG47" si="11">IF(F16&lt;25,0,IF(F16=25,25,IF(F16&lt;40,0,IF(F16=40,40,IF(F16&gt;=40,0)))))</f>
        <v>0</v>
      </c>
      <c r="AH16" s="1093">
        <f t="shared" ref="AH16:AH47" si="12">IF(AG16=25,(Y16*1.08*(J16)/2),IF(AG16=40,(Y16*1.08*(J16)),IF(AG16=0,0)))</f>
        <v>0</v>
      </c>
      <c r="AI16" s="1120" t="b">
        <f>DATE(YEAR(tab!$C$3),MONTH(G16),DAY(G16))&gt;tab!$C$3</f>
        <v>0</v>
      </c>
      <c r="AJ16" s="1097">
        <f t="shared" ref="AJ16:AJ47" si="13">YEAR($E$9)-YEAR(G16)-AI16</f>
        <v>42</v>
      </c>
      <c r="AK16" s="1041">
        <f t="shared" ref="AK16:AK47" si="14">IF((G16=""),30,AJ16)</f>
        <v>42</v>
      </c>
      <c r="AL16" s="1041">
        <f t="shared" ref="AL16:AL47" si="15">IF((AK16)&gt;50,50,(AK16))</f>
        <v>42</v>
      </c>
      <c r="AM16" s="1047">
        <f t="shared" ref="AM16:AM47" si="16">(AL16*(SUM(J16:J16)))</f>
        <v>42</v>
      </c>
      <c r="AU16" s="410"/>
      <c r="AV16" s="410"/>
      <c r="AW16" s="709"/>
      <c r="AX16" s="696"/>
    </row>
    <row r="17" spans="2:50" ht="12.75" customHeight="1" x14ac:dyDescent="0.3">
      <c r="B17" s="422"/>
      <c r="C17" s="122"/>
      <c r="D17" s="388"/>
      <c r="E17" s="388"/>
      <c r="F17" s="684"/>
      <c r="G17" s="710"/>
      <c r="H17" s="684"/>
      <c r="I17" s="389"/>
      <c r="J17" s="711"/>
      <c r="K17" s="472"/>
      <c r="L17" s="1049"/>
      <c r="M17" s="1049"/>
      <c r="N17" s="1051" t="str">
        <f t="shared" ref="N17:N70" si="17">IF(J17="","",IF((J17*40)&gt;40,40,((J17*40))))</f>
        <v/>
      </c>
      <c r="O17" s="1051" t="str">
        <f t="shared" ref="O17:O70" si="18">IF(J17="","",IF(I17&lt;4,(40*J17),0))</f>
        <v/>
      </c>
      <c r="P17" s="1125" t="str">
        <f t="shared" ref="P17:P70" si="19">IF(J17="","",(SUM(L17:O17)))</f>
        <v/>
      </c>
      <c r="Q17" s="472"/>
      <c r="R17" s="923" t="str">
        <f>IF(J17="","",(((1659*J17)-P17)*AB17))</f>
        <v/>
      </c>
      <c r="S17" s="923" t="str">
        <f t="shared" ref="S17:S70" si="20">IF(J17="","",(P17*AC17)+(AA17*AD17)+((AE17*AA17*(1-AF17))))</f>
        <v/>
      </c>
      <c r="T17" s="925" t="str">
        <f t="shared" ref="T17:T70" si="21">IF(J17="","",(R17+S17))</f>
        <v/>
      </c>
      <c r="U17" s="545"/>
      <c r="V17" s="712"/>
      <c r="W17" s="957"/>
      <c r="X17" s="1060"/>
      <c r="Y17" s="1095" t="e">
        <f t="shared" si="5"/>
        <v>#N/A</v>
      </c>
      <c r="Z17" s="1094">
        <f>tab!$B$50</f>
        <v>0.6</v>
      </c>
      <c r="AA17" s="1126" t="e">
        <f t="shared" ref="AA17:AA70" si="22">(Y17*12/1659)</f>
        <v>#N/A</v>
      </c>
      <c r="AB17" s="1126" t="e">
        <f t="shared" ref="AB17:AB70" si="23">(Y17*12*(1+Z17))/1659</f>
        <v>#N/A</v>
      </c>
      <c r="AC17" s="1126" t="e">
        <f t="shared" ref="AC17:AC70" si="24">AB17-AA17</f>
        <v>#N/A</v>
      </c>
      <c r="AD17" s="1128" t="e">
        <f t="shared" ref="AD17:AD70" si="25">(N17+O17)</f>
        <v>#VALUE!</v>
      </c>
      <c r="AE17" s="1128">
        <f t="shared" ref="AE17:AE70" si="26">(L17+M17)</f>
        <v>0</v>
      </c>
      <c r="AF17" s="1096">
        <f>IF(H17&gt;8,tab!$B$51,tab!$B$54)</f>
        <v>0.4</v>
      </c>
      <c r="AG17" s="1097">
        <f t="shared" si="11"/>
        <v>0</v>
      </c>
      <c r="AH17" s="1093">
        <f t="shared" si="12"/>
        <v>0</v>
      </c>
      <c r="AI17" s="1120" t="b">
        <f>DATE(YEAR(tab!$C$3),MONTH(G17),DAY(G17))&gt;tab!$C$3</f>
        <v>0</v>
      </c>
      <c r="AJ17" s="1097">
        <f t="shared" si="13"/>
        <v>120</v>
      </c>
      <c r="AK17" s="1041">
        <f t="shared" si="14"/>
        <v>30</v>
      </c>
      <c r="AL17" s="1041">
        <f t="shared" si="15"/>
        <v>30</v>
      </c>
      <c r="AM17" s="1047">
        <f t="shared" si="16"/>
        <v>0</v>
      </c>
      <c r="AU17" s="410"/>
      <c r="AV17" s="410"/>
      <c r="AW17" s="709"/>
      <c r="AX17" s="696"/>
    </row>
    <row r="18" spans="2:50" ht="12.75" customHeight="1" x14ac:dyDescent="0.3">
      <c r="B18" s="422"/>
      <c r="C18" s="122"/>
      <c r="D18" s="388"/>
      <c r="E18" s="388"/>
      <c r="F18" s="684"/>
      <c r="G18" s="710"/>
      <c r="H18" s="684"/>
      <c r="I18" s="389"/>
      <c r="J18" s="711"/>
      <c r="K18" s="472"/>
      <c r="L18" s="1049"/>
      <c r="M18" s="1049"/>
      <c r="N18" s="1051" t="str">
        <f t="shared" si="17"/>
        <v/>
      </c>
      <c r="O18" s="1051" t="str">
        <f t="shared" si="18"/>
        <v/>
      </c>
      <c r="P18" s="1125" t="str">
        <f t="shared" si="19"/>
        <v/>
      </c>
      <c r="Q18" s="472"/>
      <c r="R18" s="923" t="str">
        <f t="shared" ref="R18:R70" si="27">IF(J18="","",(((1659*J18)-P18)*AB18))</f>
        <v/>
      </c>
      <c r="S18" s="923" t="str">
        <f t="shared" si="20"/>
        <v/>
      </c>
      <c r="T18" s="925" t="str">
        <f t="shared" si="21"/>
        <v/>
      </c>
      <c r="U18" s="545"/>
      <c r="V18" s="712"/>
      <c r="W18" s="957"/>
      <c r="X18" s="1060"/>
      <c r="Y18" s="1095" t="e">
        <f t="shared" si="5"/>
        <v>#N/A</v>
      </c>
      <c r="Z18" s="1094">
        <f>tab!$B$50</f>
        <v>0.6</v>
      </c>
      <c r="AA18" s="1126" t="e">
        <f t="shared" si="22"/>
        <v>#N/A</v>
      </c>
      <c r="AB18" s="1126" t="e">
        <f t="shared" si="23"/>
        <v>#N/A</v>
      </c>
      <c r="AC18" s="1126" t="e">
        <f t="shared" si="24"/>
        <v>#N/A</v>
      </c>
      <c r="AD18" s="1128" t="e">
        <f t="shared" si="25"/>
        <v>#VALUE!</v>
      </c>
      <c r="AE18" s="1128">
        <f t="shared" si="26"/>
        <v>0</v>
      </c>
      <c r="AF18" s="1096">
        <f>IF(H18&gt;8,tab!$B$51,tab!$B$54)</f>
        <v>0.4</v>
      </c>
      <c r="AG18" s="1097">
        <f t="shared" si="11"/>
        <v>0</v>
      </c>
      <c r="AH18" s="1093">
        <f t="shared" si="12"/>
        <v>0</v>
      </c>
      <c r="AI18" s="1120" t="b">
        <f>DATE(YEAR(tab!$C$3),MONTH(G18),DAY(G18))&gt;tab!$C$3</f>
        <v>0</v>
      </c>
      <c r="AJ18" s="1097">
        <f t="shared" si="13"/>
        <v>120</v>
      </c>
      <c r="AK18" s="1041">
        <f t="shared" si="14"/>
        <v>30</v>
      </c>
      <c r="AL18" s="1041">
        <f t="shared" si="15"/>
        <v>30</v>
      </c>
      <c r="AM18" s="1047">
        <f t="shared" si="16"/>
        <v>0</v>
      </c>
      <c r="AU18" s="410"/>
      <c r="AV18" s="410"/>
      <c r="AW18" s="696"/>
      <c r="AX18" s="709"/>
    </row>
    <row r="19" spans="2:50" ht="12.75" customHeight="1" x14ac:dyDescent="0.3">
      <c r="B19" s="422"/>
      <c r="C19" s="122"/>
      <c r="D19" s="388"/>
      <c r="E19" s="388"/>
      <c r="F19" s="684"/>
      <c r="G19" s="710"/>
      <c r="H19" s="684"/>
      <c r="I19" s="389"/>
      <c r="J19" s="711"/>
      <c r="K19" s="472"/>
      <c r="L19" s="1049"/>
      <c r="M19" s="1049"/>
      <c r="N19" s="1051" t="str">
        <f t="shared" si="17"/>
        <v/>
      </c>
      <c r="O19" s="1051" t="str">
        <f t="shared" si="18"/>
        <v/>
      </c>
      <c r="P19" s="1125" t="str">
        <f t="shared" si="19"/>
        <v/>
      </c>
      <c r="Q19" s="472"/>
      <c r="R19" s="923" t="str">
        <f t="shared" si="27"/>
        <v/>
      </c>
      <c r="S19" s="923" t="str">
        <f t="shared" si="20"/>
        <v/>
      </c>
      <c r="T19" s="925" t="str">
        <f t="shared" si="21"/>
        <v/>
      </c>
      <c r="U19" s="545"/>
      <c r="V19" s="712"/>
      <c r="W19" s="957"/>
      <c r="X19" s="1060"/>
      <c r="Y19" s="1095" t="e">
        <f t="shared" si="5"/>
        <v>#N/A</v>
      </c>
      <c r="Z19" s="1094">
        <f>tab!$B$50</f>
        <v>0.6</v>
      </c>
      <c r="AA19" s="1126" t="e">
        <f t="shared" si="22"/>
        <v>#N/A</v>
      </c>
      <c r="AB19" s="1126" t="e">
        <f t="shared" si="23"/>
        <v>#N/A</v>
      </c>
      <c r="AC19" s="1126" t="e">
        <f t="shared" si="24"/>
        <v>#N/A</v>
      </c>
      <c r="AD19" s="1128" t="e">
        <f t="shared" si="25"/>
        <v>#VALUE!</v>
      </c>
      <c r="AE19" s="1128">
        <f t="shared" si="26"/>
        <v>0</v>
      </c>
      <c r="AF19" s="1096">
        <f>IF(H19&gt;8,tab!$B$51,tab!$B$54)</f>
        <v>0.4</v>
      </c>
      <c r="AG19" s="1097">
        <f t="shared" si="11"/>
        <v>0</v>
      </c>
      <c r="AH19" s="1093">
        <f t="shared" si="12"/>
        <v>0</v>
      </c>
      <c r="AI19" s="1120" t="b">
        <f>DATE(YEAR(tab!$C$3),MONTH(G19),DAY(G19))&gt;tab!$C$3</f>
        <v>0</v>
      </c>
      <c r="AJ19" s="1097">
        <f t="shared" si="13"/>
        <v>120</v>
      </c>
      <c r="AK19" s="1041">
        <f t="shared" si="14"/>
        <v>30</v>
      </c>
      <c r="AL19" s="1041">
        <f t="shared" si="15"/>
        <v>30</v>
      </c>
      <c r="AM19" s="1047">
        <f t="shared" si="16"/>
        <v>0</v>
      </c>
      <c r="AU19" s="410"/>
      <c r="AV19" s="410"/>
      <c r="AW19" s="696"/>
      <c r="AX19" s="709"/>
    </row>
    <row r="20" spans="2:50" ht="12.75" customHeight="1" x14ac:dyDescent="0.3">
      <c r="B20" s="422"/>
      <c r="C20" s="122"/>
      <c r="D20" s="388"/>
      <c r="E20" s="388"/>
      <c r="F20" s="684"/>
      <c r="G20" s="710"/>
      <c r="H20" s="684"/>
      <c r="I20" s="389"/>
      <c r="J20" s="711"/>
      <c r="K20" s="472"/>
      <c r="L20" s="1049"/>
      <c r="M20" s="1049"/>
      <c r="N20" s="1051" t="str">
        <f t="shared" si="17"/>
        <v/>
      </c>
      <c r="O20" s="1051" t="str">
        <f t="shared" si="18"/>
        <v/>
      </c>
      <c r="P20" s="1125" t="str">
        <f t="shared" si="19"/>
        <v/>
      </c>
      <c r="Q20" s="472"/>
      <c r="R20" s="923" t="str">
        <f t="shared" si="27"/>
        <v/>
      </c>
      <c r="S20" s="923" t="str">
        <f t="shared" si="20"/>
        <v/>
      </c>
      <c r="T20" s="925" t="str">
        <f t="shared" si="21"/>
        <v/>
      </c>
      <c r="U20" s="545"/>
      <c r="V20" s="712"/>
      <c r="W20" s="957"/>
      <c r="X20" s="1060"/>
      <c r="Y20" s="1095" t="e">
        <f t="shared" si="5"/>
        <v>#N/A</v>
      </c>
      <c r="Z20" s="1094">
        <f>tab!$B$50</f>
        <v>0.6</v>
      </c>
      <c r="AA20" s="1126" t="e">
        <f t="shared" si="22"/>
        <v>#N/A</v>
      </c>
      <c r="AB20" s="1126" t="e">
        <f t="shared" si="23"/>
        <v>#N/A</v>
      </c>
      <c r="AC20" s="1126" t="e">
        <f t="shared" si="24"/>
        <v>#N/A</v>
      </c>
      <c r="AD20" s="1128" t="e">
        <f t="shared" si="25"/>
        <v>#VALUE!</v>
      </c>
      <c r="AE20" s="1128">
        <f t="shared" si="26"/>
        <v>0</v>
      </c>
      <c r="AF20" s="1096">
        <f>IF(H20&gt;8,tab!$B$51,tab!$B$54)</f>
        <v>0.4</v>
      </c>
      <c r="AG20" s="1097">
        <f t="shared" si="11"/>
        <v>0</v>
      </c>
      <c r="AH20" s="1093">
        <f t="shared" si="12"/>
        <v>0</v>
      </c>
      <c r="AI20" s="1120" t="b">
        <f>DATE(YEAR(tab!$C$3),MONTH(G20),DAY(G20))&gt;tab!$C$3</f>
        <v>0</v>
      </c>
      <c r="AJ20" s="1097">
        <f t="shared" si="13"/>
        <v>120</v>
      </c>
      <c r="AK20" s="1041">
        <f t="shared" si="14"/>
        <v>30</v>
      </c>
      <c r="AL20" s="1041">
        <f t="shared" si="15"/>
        <v>30</v>
      </c>
      <c r="AM20" s="1047">
        <f t="shared" si="16"/>
        <v>0</v>
      </c>
      <c r="AU20" s="410"/>
      <c r="AV20" s="410"/>
      <c r="AW20" s="709"/>
    </row>
    <row r="21" spans="2:50" ht="12.75" customHeight="1" x14ac:dyDescent="0.3">
      <c r="B21" s="422"/>
      <c r="C21" s="122"/>
      <c r="D21" s="388"/>
      <c r="E21" s="388"/>
      <c r="F21" s="684"/>
      <c r="G21" s="710"/>
      <c r="H21" s="684"/>
      <c r="I21" s="389"/>
      <c r="J21" s="711"/>
      <c r="K21" s="472"/>
      <c r="L21" s="1049"/>
      <c r="M21" s="1049"/>
      <c r="N21" s="1051" t="str">
        <f t="shared" si="17"/>
        <v/>
      </c>
      <c r="O21" s="1051" t="str">
        <f t="shared" si="18"/>
        <v/>
      </c>
      <c r="P21" s="1125" t="str">
        <f t="shared" si="19"/>
        <v/>
      </c>
      <c r="Q21" s="472"/>
      <c r="R21" s="923" t="str">
        <f t="shared" si="27"/>
        <v/>
      </c>
      <c r="S21" s="923" t="str">
        <f t="shared" si="20"/>
        <v/>
      </c>
      <c r="T21" s="925" t="str">
        <f t="shared" si="21"/>
        <v/>
      </c>
      <c r="U21" s="545"/>
      <c r="V21" s="712"/>
      <c r="W21" s="957"/>
      <c r="X21" s="1060"/>
      <c r="Y21" s="1095" t="e">
        <f t="shared" si="5"/>
        <v>#N/A</v>
      </c>
      <c r="Z21" s="1094">
        <f>tab!$B$50</f>
        <v>0.6</v>
      </c>
      <c r="AA21" s="1126" t="e">
        <f t="shared" si="22"/>
        <v>#N/A</v>
      </c>
      <c r="AB21" s="1126" t="e">
        <f t="shared" si="23"/>
        <v>#N/A</v>
      </c>
      <c r="AC21" s="1126" t="e">
        <f t="shared" si="24"/>
        <v>#N/A</v>
      </c>
      <c r="AD21" s="1128" t="e">
        <f t="shared" si="25"/>
        <v>#VALUE!</v>
      </c>
      <c r="AE21" s="1128">
        <f t="shared" si="26"/>
        <v>0</v>
      </c>
      <c r="AF21" s="1096">
        <f>IF(H21&gt;8,tab!$B$51,tab!$B$54)</f>
        <v>0.4</v>
      </c>
      <c r="AG21" s="1097">
        <f t="shared" si="11"/>
        <v>0</v>
      </c>
      <c r="AH21" s="1093">
        <f t="shared" si="12"/>
        <v>0</v>
      </c>
      <c r="AI21" s="1120" t="b">
        <f>DATE(YEAR(tab!$C$3),MONTH(G21),DAY(G21))&gt;tab!$C$3</f>
        <v>0</v>
      </c>
      <c r="AJ21" s="1097">
        <f t="shared" si="13"/>
        <v>120</v>
      </c>
      <c r="AK21" s="1041">
        <f t="shared" si="14"/>
        <v>30</v>
      </c>
      <c r="AL21" s="1041">
        <f t="shared" si="15"/>
        <v>30</v>
      </c>
      <c r="AM21" s="1047">
        <f t="shared" si="16"/>
        <v>0</v>
      </c>
      <c r="AU21" s="410"/>
      <c r="AV21" s="410"/>
      <c r="AW21" s="709"/>
    </row>
    <row r="22" spans="2:50" ht="12.75" customHeight="1" x14ac:dyDescent="0.3">
      <c r="B22" s="422"/>
      <c r="C22" s="122"/>
      <c r="D22" s="388"/>
      <c r="E22" s="388"/>
      <c r="F22" s="684"/>
      <c r="G22" s="710"/>
      <c r="H22" s="684"/>
      <c r="I22" s="389"/>
      <c r="J22" s="711"/>
      <c r="K22" s="472"/>
      <c r="L22" s="1049"/>
      <c r="M22" s="1049"/>
      <c r="N22" s="1051" t="str">
        <f t="shared" si="17"/>
        <v/>
      </c>
      <c r="O22" s="1051" t="str">
        <f t="shared" si="18"/>
        <v/>
      </c>
      <c r="P22" s="1125" t="str">
        <f t="shared" si="19"/>
        <v/>
      </c>
      <c r="Q22" s="472"/>
      <c r="R22" s="923" t="str">
        <f t="shared" si="27"/>
        <v/>
      </c>
      <c r="S22" s="923" t="str">
        <f t="shared" si="20"/>
        <v/>
      </c>
      <c r="T22" s="925" t="str">
        <f t="shared" si="21"/>
        <v/>
      </c>
      <c r="U22" s="545"/>
      <c r="V22" s="712"/>
      <c r="W22" s="957"/>
      <c r="X22" s="1060"/>
      <c r="Y22" s="1095" t="e">
        <f t="shared" si="5"/>
        <v>#N/A</v>
      </c>
      <c r="Z22" s="1094">
        <f>tab!$B$50</f>
        <v>0.6</v>
      </c>
      <c r="AA22" s="1126" t="e">
        <f t="shared" si="22"/>
        <v>#N/A</v>
      </c>
      <c r="AB22" s="1126" t="e">
        <f t="shared" si="23"/>
        <v>#N/A</v>
      </c>
      <c r="AC22" s="1126" t="e">
        <f t="shared" si="24"/>
        <v>#N/A</v>
      </c>
      <c r="AD22" s="1128" t="e">
        <f t="shared" si="25"/>
        <v>#VALUE!</v>
      </c>
      <c r="AE22" s="1128">
        <f t="shared" si="26"/>
        <v>0</v>
      </c>
      <c r="AF22" s="1096">
        <f>IF(H22&gt;8,tab!$B$51,tab!$B$54)</f>
        <v>0.4</v>
      </c>
      <c r="AG22" s="1097">
        <f t="shared" si="11"/>
        <v>0</v>
      </c>
      <c r="AH22" s="1093">
        <f t="shared" si="12"/>
        <v>0</v>
      </c>
      <c r="AI22" s="1120" t="b">
        <f>DATE(YEAR(tab!$C$3),MONTH(G22),DAY(G22))&gt;tab!$C$3</f>
        <v>0</v>
      </c>
      <c r="AJ22" s="1097">
        <f t="shared" si="13"/>
        <v>120</v>
      </c>
      <c r="AK22" s="1041">
        <f t="shared" si="14"/>
        <v>30</v>
      </c>
      <c r="AL22" s="1041">
        <f t="shared" si="15"/>
        <v>30</v>
      </c>
      <c r="AM22" s="1047">
        <f t="shared" si="16"/>
        <v>0</v>
      </c>
      <c r="AU22" s="410"/>
      <c r="AV22" s="410"/>
    </row>
    <row r="23" spans="2:50" ht="12.75" customHeight="1" x14ac:dyDescent="0.3">
      <c r="B23" s="422"/>
      <c r="C23" s="122"/>
      <c r="D23" s="388"/>
      <c r="E23" s="388"/>
      <c r="F23" s="684"/>
      <c r="G23" s="710"/>
      <c r="H23" s="684"/>
      <c r="I23" s="389"/>
      <c r="J23" s="711"/>
      <c r="K23" s="472"/>
      <c r="L23" s="1049"/>
      <c r="M23" s="1049"/>
      <c r="N23" s="1051" t="str">
        <f t="shared" si="17"/>
        <v/>
      </c>
      <c r="O23" s="1051" t="str">
        <f t="shared" si="18"/>
        <v/>
      </c>
      <c r="P23" s="1125" t="str">
        <f t="shared" si="19"/>
        <v/>
      </c>
      <c r="Q23" s="472"/>
      <c r="R23" s="923" t="str">
        <f t="shared" si="27"/>
        <v/>
      </c>
      <c r="S23" s="923" t="str">
        <f t="shared" si="20"/>
        <v/>
      </c>
      <c r="T23" s="925" t="str">
        <f t="shared" si="21"/>
        <v/>
      </c>
      <c r="U23" s="545"/>
      <c r="V23" s="712"/>
      <c r="W23" s="957"/>
      <c r="X23" s="1060"/>
      <c r="Y23" s="1095" t="e">
        <f t="shared" si="5"/>
        <v>#N/A</v>
      </c>
      <c r="Z23" s="1094">
        <f>tab!$B$50</f>
        <v>0.6</v>
      </c>
      <c r="AA23" s="1126" t="e">
        <f t="shared" si="22"/>
        <v>#N/A</v>
      </c>
      <c r="AB23" s="1126" t="e">
        <f t="shared" si="23"/>
        <v>#N/A</v>
      </c>
      <c r="AC23" s="1126" t="e">
        <f t="shared" si="24"/>
        <v>#N/A</v>
      </c>
      <c r="AD23" s="1128" t="e">
        <f t="shared" si="25"/>
        <v>#VALUE!</v>
      </c>
      <c r="AE23" s="1128">
        <f t="shared" si="26"/>
        <v>0</v>
      </c>
      <c r="AF23" s="1096">
        <f>IF(H23&gt;8,tab!$B$51,tab!$B$54)</f>
        <v>0.4</v>
      </c>
      <c r="AG23" s="1097">
        <f t="shared" si="11"/>
        <v>0</v>
      </c>
      <c r="AH23" s="1093">
        <f t="shared" si="12"/>
        <v>0</v>
      </c>
      <c r="AI23" s="1120" t="b">
        <f>DATE(YEAR(tab!$C$3),MONTH(G23),DAY(G23))&gt;tab!$C$3</f>
        <v>0</v>
      </c>
      <c r="AJ23" s="1097">
        <f t="shared" si="13"/>
        <v>120</v>
      </c>
      <c r="AK23" s="1041">
        <f t="shared" si="14"/>
        <v>30</v>
      </c>
      <c r="AL23" s="1041">
        <f t="shared" si="15"/>
        <v>30</v>
      </c>
      <c r="AM23" s="1047">
        <f t="shared" si="16"/>
        <v>0</v>
      </c>
    </row>
    <row r="24" spans="2:50" ht="12.75" customHeight="1" x14ac:dyDescent="0.3">
      <c r="B24" s="422"/>
      <c r="C24" s="122"/>
      <c r="D24" s="388"/>
      <c r="E24" s="388"/>
      <c r="F24" s="684"/>
      <c r="G24" s="710"/>
      <c r="H24" s="684"/>
      <c r="I24" s="389"/>
      <c r="J24" s="711"/>
      <c r="K24" s="472"/>
      <c r="L24" s="1049"/>
      <c r="M24" s="1049"/>
      <c r="N24" s="1051" t="str">
        <f t="shared" si="17"/>
        <v/>
      </c>
      <c r="O24" s="1051" t="str">
        <f t="shared" si="18"/>
        <v/>
      </c>
      <c r="P24" s="1125" t="str">
        <f t="shared" si="19"/>
        <v/>
      </c>
      <c r="Q24" s="472"/>
      <c r="R24" s="923" t="str">
        <f t="shared" si="27"/>
        <v/>
      </c>
      <c r="S24" s="923" t="str">
        <f t="shared" si="20"/>
        <v/>
      </c>
      <c r="T24" s="925" t="str">
        <f t="shared" si="21"/>
        <v/>
      </c>
      <c r="U24" s="545"/>
      <c r="V24" s="712"/>
      <c r="W24" s="957"/>
      <c r="X24" s="1060"/>
      <c r="Y24" s="1095" t="e">
        <f t="shared" si="5"/>
        <v>#N/A</v>
      </c>
      <c r="Z24" s="1094">
        <f>tab!$B$50</f>
        <v>0.6</v>
      </c>
      <c r="AA24" s="1126" t="e">
        <f t="shared" si="22"/>
        <v>#N/A</v>
      </c>
      <c r="AB24" s="1126" t="e">
        <f t="shared" si="23"/>
        <v>#N/A</v>
      </c>
      <c r="AC24" s="1126" t="e">
        <f t="shared" si="24"/>
        <v>#N/A</v>
      </c>
      <c r="AD24" s="1128" t="e">
        <f t="shared" si="25"/>
        <v>#VALUE!</v>
      </c>
      <c r="AE24" s="1128">
        <f t="shared" si="26"/>
        <v>0</v>
      </c>
      <c r="AF24" s="1096">
        <f>IF(H24&gt;8,tab!$B$51,tab!$B$54)</f>
        <v>0.4</v>
      </c>
      <c r="AG24" s="1097">
        <f t="shared" si="11"/>
        <v>0</v>
      </c>
      <c r="AH24" s="1093">
        <f t="shared" si="12"/>
        <v>0</v>
      </c>
      <c r="AI24" s="1120" t="b">
        <f>DATE(YEAR(tab!$C$3),MONTH(G24),DAY(G24))&gt;tab!$C$3</f>
        <v>0</v>
      </c>
      <c r="AJ24" s="1097">
        <f t="shared" si="13"/>
        <v>120</v>
      </c>
      <c r="AK24" s="1041">
        <f t="shared" si="14"/>
        <v>30</v>
      </c>
      <c r="AL24" s="1041">
        <f t="shared" si="15"/>
        <v>30</v>
      </c>
      <c r="AM24" s="1047">
        <f t="shared" si="16"/>
        <v>0</v>
      </c>
    </row>
    <row r="25" spans="2:50" ht="12.75" customHeight="1" x14ac:dyDescent="0.3">
      <c r="B25" s="422"/>
      <c r="C25" s="122"/>
      <c r="D25" s="388"/>
      <c r="E25" s="388"/>
      <c r="F25" s="684"/>
      <c r="G25" s="710"/>
      <c r="H25" s="684"/>
      <c r="I25" s="389"/>
      <c r="J25" s="711"/>
      <c r="K25" s="472"/>
      <c r="L25" s="1049"/>
      <c r="M25" s="1049"/>
      <c r="N25" s="1051" t="str">
        <f t="shared" si="17"/>
        <v/>
      </c>
      <c r="O25" s="1051" t="str">
        <f t="shared" si="18"/>
        <v/>
      </c>
      <c r="P25" s="1125" t="str">
        <f t="shared" si="19"/>
        <v/>
      </c>
      <c r="Q25" s="472"/>
      <c r="R25" s="923" t="str">
        <f t="shared" si="27"/>
        <v/>
      </c>
      <c r="S25" s="923" t="str">
        <f t="shared" si="20"/>
        <v/>
      </c>
      <c r="T25" s="925" t="str">
        <f t="shared" si="21"/>
        <v/>
      </c>
      <c r="U25" s="545"/>
      <c r="V25" s="712"/>
      <c r="W25" s="957"/>
      <c r="X25" s="1060"/>
      <c r="Y25" s="1095" t="e">
        <f t="shared" si="5"/>
        <v>#N/A</v>
      </c>
      <c r="Z25" s="1094">
        <f>tab!$B$50</f>
        <v>0.6</v>
      </c>
      <c r="AA25" s="1126" t="e">
        <f t="shared" si="22"/>
        <v>#N/A</v>
      </c>
      <c r="AB25" s="1126" t="e">
        <f t="shared" si="23"/>
        <v>#N/A</v>
      </c>
      <c r="AC25" s="1126" t="e">
        <f t="shared" si="24"/>
        <v>#N/A</v>
      </c>
      <c r="AD25" s="1128" t="e">
        <f t="shared" si="25"/>
        <v>#VALUE!</v>
      </c>
      <c r="AE25" s="1128">
        <f t="shared" si="26"/>
        <v>0</v>
      </c>
      <c r="AF25" s="1096">
        <f>IF(H25&gt;8,tab!$B$51,tab!$B$54)</f>
        <v>0.4</v>
      </c>
      <c r="AG25" s="1097">
        <f t="shared" si="11"/>
        <v>0</v>
      </c>
      <c r="AH25" s="1093">
        <f t="shared" si="12"/>
        <v>0</v>
      </c>
      <c r="AI25" s="1120" t="b">
        <f>DATE(YEAR(tab!$C$3),MONTH(G25),DAY(G25))&gt;tab!$C$3</f>
        <v>0</v>
      </c>
      <c r="AJ25" s="1097">
        <f t="shared" si="13"/>
        <v>120</v>
      </c>
      <c r="AK25" s="1041">
        <f t="shared" si="14"/>
        <v>30</v>
      </c>
      <c r="AL25" s="1041">
        <f t="shared" si="15"/>
        <v>30</v>
      </c>
      <c r="AM25" s="1047">
        <f t="shared" si="16"/>
        <v>0</v>
      </c>
    </row>
    <row r="26" spans="2:50" ht="12.75" customHeight="1" x14ac:dyDescent="0.3">
      <c r="B26" s="422"/>
      <c r="C26" s="122"/>
      <c r="D26" s="388"/>
      <c r="E26" s="388"/>
      <c r="F26" s="684"/>
      <c r="G26" s="710"/>
      <c r="H26" s="684"/>
      <c r="I26" s="389"/>
      <c r="J26" s="711"/>
      <c r="K26" s="472"/>
      <c r="L26" s="1049"/>
      <c r="M26" s="1049"/>
      <c r="N26" s="1051" t="str">
        <f t="shared" si="17"/>
        <v/>
      </c>
      <c r="O26" s="1051" t="str">
        <f t="shared" si="18"/>
        <v/>
      </c>
      <c r="P26" s="1125" t="str">
        <f t="shared" si="19"/>
        <v/>
      </c>
      <c r="Q26" s="472"/>
      <c r="R26" s="923" t="str">
        <f t="shared" si="27"/>
        <v/>
      </c>
      <c r="S26" s="923" t="str">
        <f t="shared" si="20"/>
        <v/>
      </c>
      <c r="T26" s="925" t="str">
        <f t="shared" si="21"/>
        <v/>
      </c>
      <c r="U26" s="545"/>
      <c r="V26" s="712"/>
      <c r="W26" s="957"/>
      <c r="X26" s="1060"/>
      <c r="Y26" s="1095" t="e">
        <f t="shared" si="5"/>
        <v>#N/A</v>
      </c>
      <c r="Z26" s="1094">
        <f>tab!$B$50</f>
        <v>0.6</v>
      </c>
      <c r="AA26" s="1126" t="e">
        <f t="shared" si="22"/>
        <v>#N/A</v>
      </c>
      <c r="AB26" s="1126" t="e">
        <f t="shared" si="23"/>
        <v>#N/A</v>
      </c>
      <c r="AC26" s="1126" t="e">
        <f t="shared" si="24"/>
        <v>#N/A</v>
      </c>
      <c r="AD26" s="1128" t="e">
        <f t="shared" si="25"/>
        <v>#VALUE!</v>
      </c>
      <c r="AE26" s="1128">
        <f t="shared" si="26"/>
        <v>0</v>
      </c>
      <c r="AF26" s="1096">
        <f>IF(H26&gt;8,tab!$B$51,tab!$B$54)</f>
        <v>0.4</v>
      </c>
      <c r="AG26" s="1097">
        <f t="shared" si="11"/>
        <v>0</v>
      </c>
      <c r="AH26" s="1093">
        <f t="shared" si="12"/>
        <v>0</v>
      </c>
      <c r="AI26" s="1120" t="b">
        <f>DATE(YEAR(tab!$C$3),MONTH(G26),DAY(G26))&gt;tab!$C$3</f>
        <v>0</v>
      </c>
      <c r="AJ26" s="1097">
        <f t="shared" si="13"/>
        <v>120</v>
      </c>
      <c r="AK26" s="1041">
        <f t="shared" si="14"/>
        <v>30</v>
      </c>
      <c r="AL26" s="1041">
        <f t="shared" si="15"/>
        <v>30</v>
      </c>
      <c r="AM26" s="1047">
        <f t="shared" si="16"/>
        <v>0</v>
      </c>
    </row>
    <row r="27" spans="2:50" ht="12.75" customHeight="1" x14ac:dyDescent="0.3">
      <c r="B27" s="422"/>
      <c r="C27" s="122"/>
      <c r="D27" s="388"/>
      <c r="E27" s="388"/>
      <c r="F27" s="684"/>
      <c r="G27" s="710"/>
      <c r="H27" s="684"/>
      <c r="I27" s="389"/>
      <c r="J27" s="711"/>
      <c r="K27" s="472"/>
      <c r="L27" s="1049"/>
      <c r="M27" s="1049"/>
      <c r="N27" s="1051" t="str">
        <f t="shared" si="17"/>
        <v/>
      </c>
      <c r="O27" s="1051" t="str">
        <f t="shared" si="18"/>
        <v/>
      </c>
      <c r="P27" s="1125" t="str">
        <f t="shared" si="19"/>
        <v/>
      </c>
      <c r="Q27" s="472"/>
      <c r="R27" s="923" t="str">
        <f t="shared" si="27"/>
        <v/>
      </c>
      <c r="S27" s="923" t="str">
        <f t="shared" si="20"/>
        <v/>
      </c>
      <c r="T27" s="925" t="str">
        <f t="shared" si="21"/>
        <v/>
      </c>
      <c r="U27" s="545"/>
      <c r="V27" s="712"/>
      <c r="W27" s="957"/>
      <c r="X27" s="1060"/>
      <c r="Y27" s="1095" t="e">
        <f t="shared" si="5"/>
        <v>#N/A</v>
      </c>
      <c r="Z27" s="1094">
        <f>tab!$B$50</f>
        <v>0.6</v>
      </c>
      <c r="AA27" s="1126" t="e">
        <f t="shared" si="22"/>
        <v>#N/A</v>
      </c>
      <c r="AB27" s="1126" t="e">
        <f t="shared" si="23"/>
        <v>#N/A</v>
      </c>
      <c r="AC27" s="1126" t="e">
        <f t="shared" si="24"/>
        <v>#N/A</v>
      </c>
      <c r="AD27" s="1128" t="e">
        <f t="shared" si="25"/>
        <v>#VALUE!</v>
      </c>
      <c r="AE27" s="1128">
        <f t="shared" si="26"/>
        <v>0</v>
      </c>
      <c r="AF27" s="1096">
        <f>IF(H27&gt;8,tab!$B$51,tab!$B$54)</f>
        <v>0.4</v>
      </c>
      <c r="AG27" s="1097">
        <f t="shared" si="11"/>
        <v>0</v>
      </c>
      <c r="AH27" s="1093">
        <f t="shared" si="12"/>
        <v>0</v>
      </c>
      <c r="AI27" s="1120" t="b">
        <f>DATE(YEAR(tab!$C$3),MONTH(G27),DAY(G27))&gt;tab!$C$3</f>
        <v>0</v>
      </c>
      <c r="AJ27" s="1097">
        <f t="shared" si="13"/>
        <v>120</v>
      </c>
      <c r="AK27" s="1041">
        <f t="shared" si="14"/>
        <v>30</v>
      </c>
      <c r="AL27" s="1041">
        <f t="shared" si="15"/>
        <v>30</v>
      </c>
      <c r="AM27" s="1047">
        <f t="shared" si="16"/>
        <v>0</v>
      </c>
    </row>
    <row r="28" spans="2:50" ht="12.75" customHeight="1" x14ac:dyDescent="0.3">
      <c r="B28" s="422"/>
      <c r="C28" s="122"/>
      <c r="D28" s="388"/>
      <c r="E28" s="388"/>
      <c r="F28" s="684"/>
      <c r="G28" s="710"/>
      <c r="H28" s="684"/>
      <c r="I28" s="389"/>
      <c r="J28" s="711"/>
      <c r="K28" s="472"/>
      <c r="L28" s="1049"/>
      <c r="M28" s="1049"/>
      <c r="N28" s="1051" t="str">
        <f t="shared" si="17"/>
        <v/>
      </c>
      <c r="O28" s="1051" t="str">
        <f t="shared" si="18"/>
        <v/>
      </c>
      <c r="P28" s="1125" t="str">
        <f t="shared" si="19"/>
        <v/>
      </c>
      <c r="Q28" s="472"/>
      <c r="R28" s="923" t="str">
        <f t="shared" si="27"/>
        <v/>
      </c>
      <c r="S28" s="923" t="str">
        <f t="shared" si="20"/>
        <v/>
      </c>
      <c r="T28" s="925" t="str">
        <f t="shared" si="21"/>
        <v/>
      </c>
      <c r="U28" s="545"/>
      <c r="V28" s="712"/>
      <c r="W28" s="957"/>
      <c r="X28" s="1060"/>
      <c r="Y28" s="1095" t="e">
        <f t="shared" si="5"/>
        <v>#N/A</v>
      </c>
      <c r="Z28" s="1094">
        <f>tab!$B$50</f>
        <v>0.6</v>
      </c>
      <c r="AA28" s="1126" t="e">
        <f t="shared" si="22"/>
        <v>#N/A</v>
      </c>
      <c r="AB28" s="1126" t="e">
        <f t="shared" si="23"/>
        <v>#N/A</v>
      </c>
      <c r="AC28" s="1126" t="e">
        <f t="shared" si="24"/>
        <v>#N/A</v>
      </c>
      <c r="AD28" s="1128" t="e">
        <f t="shared" si="25"/>
        <v>#VALUE!</v>
      </c>
      <c r="AE28" s="1128">
        <f t="shared" si="26"/>
        <v>0</v>
      </c>
      <c r="AF28" s="1096">
        <f>IF(H28&gt;8,tab!$B$51,tab!$B$54)</f>
        <v>0.4</v>
      </c>
      <c r="AG28" s="1097">
        <f t="shared" si="11"/>
        <v>0</v>
      </c>
      <c r="AH28" s="1093">
        <f t="shared" si="12"/>
        <v>0</v>
      </c>
      <c r="AI28" s="1120" t="b">
        <f>DATE(YEAR(tab!$C$3),MONTH(G28),DAY(G28))&gt;tab!$C$3</f>
        <v>0</v>
      </c>
      <c r="AJ28" s="1097">
        <f t="shared" si="13"/>
        <v>120</v>
      </c>
      <c r="AK28" s="1041">
        <f t="shared" si="14"/>
        <v>30</v>
      </c>
      <c r="AL28" s="1041">
        <f t="shared" si="15"/>
        <v>30</v>
      </c>
      <c r="AM28" s="1047">
        <f t="shared" si="16"/>
        <v>0</v>
      </c>
    </row>
    <row r="29" spans="2:50" ht="12.75" customHeight="1" x14ac:dyDescent="0.3">
      <c r="B29" s="422"/>
      <c r="C29" s="122"/>
      <c r="D29" s="388"/>
      <c r="E29" s="388"/>
      <c r="F29" s="684"/>
      <c r="G29" s="710"/>
      <c r="H29" s="684"/>
      <c r="I29" s="389"/>
      <c r="J29" s="711"/>
      <c r="K29" s="472"/>
      <c r="L29" s="1049"/>
      <c r="M29" s="1049"/>
      <c r="N29" s="1051" t="str">
        <f t="shared" si="17"/>
        <v/>
      </c>
      <c r="O29" s="1051" t="str">
        <f t="shared" si="18"/>
        <v/>
      </c>
      <c r="P29" s="1125" t="str">
        <f t="shared" si="19"/>
        <v/>
      </c>
      <c r="Q29" s="472"/>
      <c r="R29" s="923" t="str">
        <f t="shared" si="27"/>
        <v/>
      </c>
      <c r="S29" s="923" t="str">
        <f t="shared" si="20"/>
        <v/>
      </c>
      <c r="T29" s="925" t="str">
        <f t="shared" si="21"/>
        <v/>
      </c>
      <c r="U29" s="545"/>
      <c r="V29" s="712"/>
      <c r="W29" s="957"/>
      <c r="X29" s="1060"/>
      <c r="Y29" s="1095" t="e">
        <f t="shared" si="5"/>
        <v>#N/A</v>
      </c>
      <c r="Z29" s="1094">
        <f>tab!$B$50</f>
        <v>0.6</v>
      </c>
      <c r="AA29" s="1126" t="e">
        <f t="shared" si="22"/>
        <v>#N/A</v>
      </c>
      <c r="AB29" s="1126" t="e">
        <f t="shared" si="23"/>
        <v>#N/A</v>
      </c>
      <c r="AC29" s="1126" t="e">
        <f t="shared" si="24"/>
        <v>#N/A</v>
      </c>
      <c r="AD29" s="1128" t="e">
        <f t="shared" si="25"/>
        <v>#VALUE!</v>
      </c>
      <c r="AE29" s="1128">
        <f t="shared" si="26"/>
        <v>0</v>
      </c>
      <c r="AF29" s="1096">
        <f>IF(H29&gt;8,tab!$B$51,tab!$B$54)</f>
        <v>0.4</v>
      </c>
      <c r="AG29" s="1097">
        <f t="shared" si="11"/>
        <v>0</v>
      </c>
      <c r="AH29" s="1093">
        <f t="shared" si="12"/>
        <v>0</v>
      </c>
      <c r="AI29" s="1120" t="b">
        <f>DATE(YEAR(tab!$C$3),MONTH(G29),DAY(G29))&gt;tab!$C$3</f>
        <v>0</v>
      </c>
      <c r="AJ29" s="1097">
        <f t="shared" si="13"/>
        <v>120</v>
      </c>
      <c r="AK29" s="1041">
        <f t="shared" si="14"/>
        <v>30</v>
      </c>
      <c r="AL29" s="1041">
        <f t="shared" si="15"/>
        <v>30</v>
      </c>
      <c r="AM29" s="1047">
        <f t="shared" si="16"/>
        <v>0</v>
      </c>
    </row>
    <row r="30" spans="2:50" ht="12.75" customHeight="1" x14ac:dyDescent="0.3">
      <c r="B30" s="422"/>
      <c r="C30" s="122"/>
      <c r="D30" s="388"/>
      <c r="E30" s="388"/>
      <c r="F30" s="684"/>
      <c r="G30" s="710"/>
      <c r="H30" s="684"/>
      <c r="I30" s="389"/>
      <c r="J30" s="711"/>
      <c r="K30" s="472"/>
      <c r="L30" s="1049"/>
      <c r="M30" s="1049"/>
      <c r="N30" s="1051" t="str">
        <f t="shared" si="17"/>
        <v/>
      </c>
      <c r="O30" s="1051" t="str">
        <f t="shared" si="18"/>
        <v/>
      </c>
      <c r="P30" s="1125" t="str">
        <f t="shared" si="19"/>
        <v/>
      </c>
      <c r="Q30" s="472"/>
      <c r="R30" s="923" t="str">
        <f t="shared" si="27"/>
        <v/>
      </c>
      <c r="S30" s="923" t="str">
        <f t="shared" si="20"/>
        <v/>
      </c>
      <c r="T30" s="925" t="str">
        <f t="shared" si="21"/>
        <v/>
      </c>
      <c r="U30" s="545"/>
      <c r="V30" s="712"/>
      <c r="W30" s="957"/>
      <c r="X30" s="1060"/>
      <c r="Y30" s="1095" t="e">
        <f t="shared" si="5"/>
        <v>#N/A</v>
      </c>
      <c r="Z30" s="1094">
        <f>tab!$B$50</f>
        <v>0.6</v>
      </c>
      <c r="AA30" s="1126" t="e">
        <f t="shared" si="22"/>
        <v>#N/A</v>
      </c>
      <c r="AB30" s="1126" t="e">
        <f t="shared" si="23"/>
        <v>#N/A</v>
      </c>
      <c r="AC30" s="1126" t="e">
        <f t="shared" si="24"/>
        <v>#N/A</v>
      </c>
      <c r="AD30" s="1128" t="e">
        <f t="shared" si="25"/>
        <v>#VALUE!</v>
      </c>
      <c r="AE30" s="1128">
        <f t="shared" si="26"/>
        <v>0</v>
      </c>
      <c r="AF30" s="1096">
        <f>IF(H30&gt;8,tab!$B$51,tab!$B$54)</f>
        <v>0.4</v>
      </c>
      <c r="AG30" s="1097">
        <f t="shared" si="11"/>
        <v>0</v>
      </c>
      <c r="AH30" s="1093">
        <f t="shared" si="12"/>
        <v>0</v>
      </c>
      <c r="AI30" s="1120" t="b">
        <f>DATE(YEAR(tab!$C$3),MONTH(G30),DAY(G30))&gt;tab!$C$3</f>
        <v>0</v>
      </c>
      <c r="AJ30" s="1097">
        <f t="shared" si="13"/>
        <v>120</v>
      </c>
      <c r="AK30" s="1041">
        <f t="shared" si="14"/>
        <v>30</v>
      </c>
      <c r="AL30" s="1041">
        <f t="shared" si="15"/>
        <v>30</v>
      </c>
      <c r="AM30" s="1047">
        <f t="shared" si="16"/>
        <v>0</v>
      </c>
    </row>
    <row r="31" spans="2:50" ht="12.75" customHeight="1" x14ac:dyDescent="0.3">
      <c r="B31" s="422"/>
      <c r="C31" s="122"/>
      <c r="D31" s="388"/>
      <c r="E31" s="388"/>
      <c r="F31" s="684"/>
      <c r="G31" s="710"/>
      <c r="H31" s="684"/>
      <c r="I31" s="389"/>
      <c r="J31" s="711"/>
      <c r="K31" s="472"/>
      <c r="L31" s="1049"/>
      <c r="M31" s="1049"/>
      <c r="N31" s="1051" t="str">
        <f t="shared" si="17"/>
        <v/>
      </c>
      <c r="O31" s="1051" t="str">
        <f t="shared" si="18"/>
        <v/>
      </c>
      <c r="P31" s="1125" t="str">
        <f t="shared" si="19"/>
        <v/>
      </c>
      <c r="Q31" s="472"/>
      <c r="R31" s="923" t="str">
        <f t="shared" si="27"/>
        <v/>
      </c>
      <c r="S31" s="923" t="str">
        <f t="shared" si="20"/>
        <v/>
      </c>
      <c r="T31" s="925" t="str">
        <f t="shared" si="21"/>
        <v/>
      </c>
      <c r="U31" s="545"/>
      <c r="V31" s="712"/>
      <c r="W31" s="957"/>
      <c r="X31" s="1060"/>
      <c r="Y31" s="1095" t="e">
        <f t="shared" si="5"/>
        <v>#N/A</v>
      </c>
      <c r="Z31" s="1094">
        <f>tab!$B$50</f>
        <v>0.6</v>
      </c>
      <c r="AA31" s="1126" t="e">
        <f t="shared" si="22"/>
        <v>#N/A</v>
      </c>
      <c r="AB31" s="1126" t="e">
        <f t="shared" si="23"/>
        <v>#N/A</v>
      </c>
      <c r="AC31" s="1126" t="e">
        <f t="shared" si="24"/>
        <v>#N/A</v>
      </c>
      <c r="AD31" s="1128" t="e">
        <f t="shared" si="25"/>
        <v>#VALUE!</v>
      </c>
      <c r="AE31" s="1128">
        <f t="shared" si="26"/>
        <v>0</v>
      </c>
      <c r="AF31" s="1096">
        <f>IF(H31&gt;8,tab!$B$51,tab!$B$54)</f>
        <v>0.4</v>
      </c>
      <c r="AG31" s="1097">
        <f t="shared" si="11"/>
        <v>0</v>
      </c>
      <c r="AH31" s="1093">
        <f t="shared" si="12"/>
        <v>0</v>
      </c>
      <c r="AI31" s="1120" t="b">
        <f>DATE(YEAR(tab!$C$3),MONTH(G31),DAY(G31))&gt;tab!$C$3</f>
        <v>0</v>
      </c>
      <c r="AJ31" s="1097">
        <f t="shared" si="13"/>
        <v>120</v>
      </c>
      <c r="AK31" s="1041">
        <f t="shared" si="14"/>
        <v>30</v>
      </c>
      <c r="AL31" s="1041">
        <f t="shared" si="15"/>
        <v>30</v>
      </c>
      <c r="AM31" s="1047">
        <f t="shared" si="16"/>
        <v>0</v>
      </c>
    </row>
    <row r="32" spans="2:50" ht="12.75" customHeight="1" x14ac:dyDescent="0.3">
      <c r="B32" s="422"/>
      <c r="C32" s="122"/>
      <c r="D32" s="388"/>
      <c r="E32" s="388"/>
      <c r="F32" s="684"/>
      <c r="G32" s="710"/>
      <c r="H32" s="684"/>
      <c r="I32" s="389"/>
      <c r="J32" s="711"/>
      <c r="K32" s="472"/>
      <c r="L32" s="1049"/>
      <c r="M32" s="1049"/>
      <c r="N32" s="1051" t="str">
        <f t="shared" si="17"/>
        <v/>
      </c>
      <c r="O32" s="1051" t="str">
        <f t="shared" si="18"/>
        <v/>
      </c>
      <c r="P32" s="1125" t="str">
        <f t="shared" si="19"/>
        <v/>
      </c>
      <c r="Q32" s="472"/>
      <c r="R32" s="923" t="str">
        <f t="shared" si="27"/>
        <v/>
      </c>
      <c r="S32" s="923" t="str">
        <f t="shared" si="20"/>
        <v/>
      </c>
      <c r="T32" s="925" t="str">
        <f t="shared" si="21"/>
        <v/>
      </c>
      <c r="U32" s="545"/>
      <c r="V32" s="712"/>
      <c r="W32" s="957"/>
      <c r="X32" s="1060"/>
      <c r="Y32" s="1095" t="e">
        <f t="shared" si="5"/>
        <v>#N/A</v>
      </c>
      <c r="Z32" s="1094">
        <f>tab!$B$50</f>
        <v>0.6</v>
      </c>
      <c r="AA32" s="1126" t="e">
        <f t="shared" si="22"/>
        <v>#N/A</v>
      </c>
      <c r="AB32" s="1126" t="e">
        <f t="shared" si="23"/>
        <v>#N/A</v>
      </c>
      <c r="AC32" s="1126" t="e">
        <f t="shared" si="24"/>
        <v>#N/A</v>
      </c>
      <c r="AD32" s="1128" t="e">
        <f t="shared" si="25"/>
        <v>#VALUE!</v>
      </c>
      <c r="AE32" s="1128">
        <f t="shared" si="26"/>
        <v>0</v>
      </c>
      <c r="AF32" s="1096">
        <f>IF(H32&gt;8,tab!$B$51,tab!$B$54)</f>
        <v>0.4</v>
      </c>
      <c r="AG32" s="1097">
        <f t="shared" si="11"/>
        <v>0</v>
      </c>
      <c r="AH32" s="1093">
        <f t="shared" si="12"/>
        <v>0</v>
      </c>
      <c r="AI32" s="1120" t="b">
        <f>DATE(YEAR(tab!$C$3),MONTH(G32),DAY(G32))&gt;tab!$C$3</f>
        <v>0</v>
      </c>
      <c r="AJ32" s="1097">
        <f t="shared" si="13"/>
        <v>120</v>
      </c>
      <c r="AK32" s="1041">
        <f t="shared" si="14"/>
        <v>30</v>
      </c>
      <c r="AL32" s="1041">
        <f t="shared" si="15"/>
        <v>30</v>
      </c>
      <c r="AM32" s="1047">
        <f t="shared" si="16"/>
        <v>0</v>
      </c>
    </row>
    <row r="33" spans="2:39" ht="12.75" customHeight="1" x14ac:dyDescent="0.3">
      <c r="B33" s="422"/>
      <c r="C33" s="122"/>
      <c r="D33" s="388"/>
      <c r="E33" s="388"/>
      <c r="F33" s="684"/>
      <c r="G33" s="710"/>
      <c r="H33" s="684"/>
      <c r="I33" s="389"/>
      <c r="J33" s="711"/>
      <c r="K33" s="472"/>
      <c r="L33" s="1049"/>
      <c r="M33" s="1049"/>
      <c r="N33" s="1051" t="str">
        <f t="shared" si="17"/>
        <v/>
      </c>
      <c r="O33" s="1051" t="str">
        <f t="shared" si="18"/>
        <v/>
      </c>
      <c r="P33" s="1125" t="str">
        <f t="shared" si="19"/>
        <v/>
      </c>
      <c r="Q33" s="472"/>
      <c r="R33" s="923" t="str">
        <f t="shared" si="27"/>
        <v/>
      </c>
      <c r="S33" s="923" t="str">
        <f t="shared" si="20"/>
        <v/>
      </c>
      <c r="T33" s="925" t="str">
        <f t="shared" si="21"/>
        <v/>
      </c>
      <c r="U33" s="545"/>
      <c r="V33" s="712"/>
      <c r="W33" s="957"/>
      <c r="X33" s="1060"/>
      <c r="Y33" s="1095" t="e">
        <f t="shared" si="5"/>
        <v>#N/A</v>
      </c>
      <c r="Z33" s="1094">
        <f>tab!$B$50</f>
        <v>0.6</v>
      </c>
      <c r="AA33" s="1126" t="e">
        <f t="shared" si="22"/>
        <v>#N/A</v>
      </c>
      <c r="AB33" s="1126" t="e">
        <f t="shared" si="23"/>
        <v>#N/A</v>
      </c>
      <c r="AC33" s="1126" t="e">
        <f t="shared" si="24"/>
        <v>#N/A</v>
      </c>
      <c r="AD33" s="1128" t="e">
        <f t="shared" si="25"/>
        <v>#VALUE!</v>
      </c>
      <c r="AE33" s="1128">
        <f t="shared" si="26"/>
        <v>0</v>
      </c>
      <c r="AF33" s="1096">
        <f>IF(H33&gt;8,tab!$B$51,tab!$B$54)</f>
        <v>0.4</v>
      </c>
      <c r="AG33" s="1097">
        <f t="shared" si="11"/>
        <v>0</v>
      </c>
      <c r="AH33" s="1093">
        <f t="shared" si="12"/>
        <v>0</v>
      </c>
      <c r="AI33" s="1120" t="b">
        <f>DATE(YEAR(tab!$C$3),MONTH(G33),DAY(G33))&gt;tab!$C$3</f>
        <v>0</v>
      </c>
      <c r="AJ33" s="1097">
        <f t="shared" si="13"/>
        <v>120</v>
      </c>
      <c r="AK33" s="1041">
        <f t="shared" si="14"/>
        <v>30</v>
      </c>
      <c r="AL33" s="1041">
        <f t="shared" si="15"/>
        <v>30</v>
      </c>
      <c r="AM33" s="1047">
        <f t="shared" si="16"/>
        <v>0</v>
      </c>
    </row>
    <row r="34" spans="2:39" ht="12.75" customHeight="1" x14ac:dyDescent="0.3">
      <c r="B34" s="422"/>
      <c r="C34" s="122"/>
      <c r="D34" s="388"/>
      <c r="E34" s="388"/>
      <c r="F34" s="684"/>
      <c r="G34" s="710"/>
      <c r="H34" s="684"/>
      <c r="I34" s="389"/>
      <c r="J34" s="711"/>
      <c r="K34" s="472"/>
      <c r="L34" s="1049"/>
      <c r="M34" s="1049"/>
      <c r="N34" s="1051" t="str">
        <f t="shared" si="17"/>
        <v/>
      </c>
      <c r="O34" s="1051" t="str">
        <f t="shared" si="18"/>
        <v/>
      </c>
      <c r="P34" s="1125" t="str">
        <f t="shared" si="19"/>
        <v/>
      </c>
      <c r="Q34" s="472"/>
      <c r="R34" s="923" t="str">
        <f t="shared" si="27"/>
        <v/>
      </c>
      <c r="S34" s="923" t="str">
        <f t="shared" si="20"/>
        <v/>
      </c>
      <c r="T34" s="925" t="str">
        <f t="shared" si="21"/>
        <v/>
      </c>
      <c r="U34" s="545"/>
      <c r="V34" s="712"/>
      <c r="W34" s="957"/>
      <c r="X34" s="1060"/>
      <c r="Y34" s="1095" t="e">
        <f t="shared" si="5"/>
        <v>#N/A</v>
      </c>
      <c r="Z34" s="1094">
        <f>tab!$B$50</f>
        <v>0.6</v>
      </c>
      <c r="AA34" s="1126" t="e">
        <f t="shared" si="22"/>
        <v>#N/A</v>
      </c>
      <c r="AB34" s="1126" t="e">
        <f t="shared" si="23"/>
        <v>#N/A</v>
      </c>
      <c r="AC34" s="1126" t="e">
        <f t="shared" si="24"/>
        <v>#N/A</v>
      </c>
      <c r="AD34" s="1128" t="e">
        <f t="shared" si="25"/>
        <v>#VALUE!</v>
      </c>
      <c r="AE34" s="1128">
        <f t="shared" si="26"/>
        <v>0</v>
      </c>
      <c r="AF34" s="1096">
        <f>IF(H34&gt;8,tab!$B$51,tab!$B$54)</f>
        <v>0.4</v>
      </c>
      <c r="AG34" s="1097">
        <f t="shared" si="11"/>
        <v>0</v>
      </c>
      <c r="AH34" s="1093">
        <f t="shared" si="12"/>
        <v>0</v>
      </c>
      <c r="AI34" s="1120" t="b">
        <f>DATE(YEAR(tab!$C$3),MONTH(G34),DAY(G34))&gt;tab!$C$3</f>
        <v>0</v>
      </c>
      <c r="AJ34" s="1097">
        <f t="shared" si="13"/>
        <v>120</v>
      </c>
      <c r="AK34" s="1041">
        <f t="shared" si="14"/>
        <v>30</v>
      </c>
      <c r="AL34" s="1041">
        <f t="shared" si="15"/>
        <v>30</v>
      </c>
      <c r="AM34" s="1047">
        <f t="shared" si="16"/>
        <v>0</v>
      </c>
    </row>
    <row r="35" spans="2:39" ht="12.75" customHeight="1" x14ac:dyDescent="0.3">
      <c r="B35" s="422"/>
      <c r="C35" s="122"/>
      <c r="D35" s="388"/>
      <c r="E35" s="388"/>
      <c r="F35" s="684"/>
      <c r="G35" s="710"/>
      <c r="H35" s="684"/>
      <c r="I35" s="389"/>
      <c r="J35" s="711"/>
      <c r="K35" s="472"/>
      <c r="L35" s="1049"/>
      <c r="M35" s="1049"/>
      <c r="N35" s="1051" t="str">
        <f t="shared" si="17"/>
        <v/>
      </c>
      <c r="O35" s="1051" t="str">
        <f t="shared" si="18"/>
        <v/>
      </c>
      <c r="P35" s="1125" t="str">
        <f t="shared" si="19"/>
        <v/>
      </c>
      <c r="Q35" s="472"/>
      <c r="R35" s="923" t="str">
        <f t="shared" si="27"/>
        <v/>
      </c>
      <c r="S35" s="923" t="str">
        <f t="shared" si="20"/>
        <v/>
      </c>
      <c r="T35" s="925" t="str">
        <f t="shared" si="21"/>
        <v/>
      </c>
      <c r="U35" s="545"/>
      <c r="V35" s="712"/>
      <c r="W35" s="957"/>
      <c r="X35" s="1060"/>
      <c r="Y35" s="1095" t="e">
        <f t="shared" si="5"/>
        <v>#N/A</v>
      </c>
      <c r="Z35" s="1094">
        <f>tab!$B$50</f>
        <v>0.6</v>
      </c>
      <c r="AA35" s="1126" t="e">
        <f t="shared" si="22"/>
        <v>#N/A</v>
      </c>
      <c r="AB35" s="1126" t="e">
        <f t="shared" si="23"/>
        <v>#N/A</v>
      </c>
      <c r="AC35" s="1126" t="e">
        <f t="shared" si="24"/>
        <v>#N/A</v>
      </c>
      <c r="AD35" s="1128" t="e">
        <f t="shared" si="25"/>
        <v>#VALUE!</v>
      </c>
      <c r="AE35" s="1128">
        <f t="shared" si="26"/>
        <v>0</v>
      </c>
      <c r="AF35" s="1096">
        <f>IF(H35&gt;8,tab!$B$51,tab!$B$54)</f>
        <v>0.4</v>
      </c>
      <c r="AG35" s="1097">
        <f t="shared" si="11"/>
        <v>0</v>
      </c>
      <c r="AH35" s="1093">
        <f t="shared" si="12"/>
        <v>0</v>
      </c>
      <c r="AI35" s="1120" t="b">
        <f>DATE(YEAR(tab!$C$3),MONTH(G35),DAY(G35))&gt;tab!$C$3</f>
        <v>0</v>
      </c>
      <c r="AJ35" s="1097">
        <f t="shared" si="13"/>
        <v>120</v>
      </c>
      <c r="AK35" s="1041">
        <f t="shared" si="14"/>
        <v>30</v>
      </c>
      <c r="AL35" s="1041">
        <f t="shared" si="15"/>
        <v>30</v>
      </c>
      <c r="AM35" s="1047">
        <f t="shared" si="16"/>
        <v>0</v>
      </c>
    </row>
    <row r="36" spans="2:39" ht="12.75" customHeight="1" x14ac:dyDescent="0.3">
      <c r="B36" s="422"/>
      <c r="C36" s="122"/>
      <c r="D36" s="388"/>
      <c r="E36" s="388"/>
      <c r="F36" s="684"/>
      <c r="G36" s="710"/>
      <c r="H36" s="684"/>
      <c r="I36" s="389"/>
      <c r="J36" s="711"/>
      <c r="K36" s="472"/>
      <c r="L36" s="1049"/>
      <c r="M36" s="1049"/>
      <c r="N36" s="1051" t="str">
        <f t="shared" si="17"/>
        <v/>
      </c>
      <c r="O36" s="1051" t="str">
        <f t="shared" si="18"/>
        <v/>
      </c>
      <c r="P36" s="1125" t="str">
        <f t="shared" si="19"/>
        <v/>
      </c>
      <c r="Q36" s="472"/>
      <c r="R36" s="923" t="str">
        <f t="shared" si="27"/>
        <v/>
      </c>
      <c r="S36" s="923" t="str">
        <f t="shared" si="20"/>
        <v/>
      </c>
      <c r="T36" s="925" t="str">
        <f t="shared" si="21"/>
        <v/>
      </c>
      <c r="U36" s="545"/>
      <c r="V36" s="712"/>
      <c r="W36" s="957"/>
      <c r="X36" s="1060"/>
      <c r="Y36" s="1095" t="e">
        <f t="shared" si="5"/>
        <v>#N/A</v>
      </c>
      <c r="Z36" s="1094">
        <f>tab!$B$50</f>
        <v>0.6</v>
      </c>
      <c r="AA36" s="1126" t="e">
        <f t="shared" si="22"/>
        <v>#N/A</v>
      </c>
      <c r="AB36" s="1126" t="e">
        <f t="shared" si="23"/>
        <v>#N/A</v>
      </c>
      <c r="AC36" s="1126" t="e">
        <f t="shared" si="24"/>
        <v>#N/A</v>
      </c>
      <c r="AD36" s="1128" t="e">
        <f t="shared" si="25"/>
        <v>#VALUE!</v>
      </c>
      <c r="AE36" s="1128">
        <f t="shared" si="26"/>
        <v>0</v>
      </c>
      <c r="AF36" s="1096">
        <f>IF(H36&gt;8,tab!$B$51,tab!$B$54)</f>
        <v>0.4</v>
      </c>
      <c r="AG36" s="1097">
        <f t="shared" si="11"/>
        <v>0</v>
      </c>
      <c r="AH36" s="1093">
        <f t="shared" si="12"/>
        <v>0</v>
      </c>
      <c r="AI36" s="1120" t="b">
        <f>DATE(YEAR(tab!$C$3),MONTH(G36),DAY(G36))&gt;tab!$C$3</f>
        <v>0</v>
      </c>
      <c r="AJ36" s="1097">
        <f t="shared" si="13"/>
        <v>120</v>
      </c>
      <c r="AK36" s="1041">
        <f t="shared" si="14"/>
        <v>30</v>
      </c>
      <c r="AL36" s="1041">
        <f t="shared" si="15"/>
        <v>30</v>
      </c>
      <c r="AM36" s="1047">
        <f t="shared" si="16"/>
        <v>0</v>
      </c>
    </row>
    <row r="37" spans="2:39" ht="12.75" customHeight="1" x14ac:dyDescent="0.3">
      <c r="B37" s="422"/>
      <c r="C37" s="122"/>
      <c r="D37" s="388"/>
      <c r="E37" s="388"/>
      <c r="F37" s="684"/>
      <c r="G37" s="710"/>
      <c r="H37" s="684"/>
      <c r="I37" s="389"/>
      <c r="J37" s="711"/>
      <c r="K37" s="472"/>
      <c r="L37" s="1049"/>
      <c r="M37" s="1049"/>
      <c r="N37" s="1051" t="str">
        <f t="shared" si="17"/>
        <v/>
      </c>
      <c r="O37" s="1051" t="str">
        <f t="shared" si="18"/>
        <v/>
      </c>
      <c r="P37" s="1125" t="str">
        <f t="shared" si="19"/>
        <v/>
      </c>
      <c r="Q37" s="472"/>
      <c r="R37" s="923" t="str">
        <f t="shared" si="27"/>
        <v/>
      </c>
      <c r="S37" s="923" t="str">
        <f t="shared" si="20"/>
        <v/>
      </c>
      <c r="T37" s="925" t="str">
        <f t="shared" si="21"/>
        <v/>
      </c>
      <c r="U37" s="545"/>
      <c r="V37" s="712"/>
      <c r="W37" s="957"/>
      <c r="X37" s="1060"/>
      <c r="Y37" s="1095" t="e">
        <f t="shared" si="5"/>
        <v>#N/A</v>
      </c>
      <c r="Z37" s="1094">
        <f>tab!$B$50</f>
        <v>0.6</v>
      </c>
      <c r="AA37" s="1126" t="e">
        <f t="shared" si="22"/>
        <v>#N/A</v>
      </c>
      <c r="AB37" s="1126" t="e">
        <f t="shared" si="23"/>
        <v>#N/A</v>
      </c>
      <c r="AC37" s="1126" t="e">
        <f t="shared" si="24"/>
        <v>#N/A</v>
      </c>
      <c r="AD37" s="1128" t="e">
        <f t="shared" si="25"/>
        <v>#VALUE!</v>
      </c>
      <c r="AE37" s="1128">
        <f t="shared" si="26"/>
        <v>0</v>
      </c>
      <c r="AF37" s="1096">
        <f>IF(H37&gt;8,tab!$B$51,tab!$B$54)</f>
        <v>0.4</v>
      </c>
      <c r="AG37" s="1097">
        <f t="shared" si="11"/>
        <v>0</v>
      </c>
      <c r="AH37" s="1093">
        <f t="shared" si="12"/>
        <v>0</v>
      </c>
      <c r="AI37" s="1120" t="b">
        <f>DATE(YEAR(tab!$C$3),MONTH(G37),DAY(G37))&gt;tab!$C$3</f>
        <v>0</v>
      </c>
      <c r="AJ37" s="1097">
        <f t="shared" si="13"/>
        <v>120</v>
      </c>
      <c r="AK37" s="1041">
        <f t="shared" si="14"/>
        <v>30</v>
      </c>
      <c r="AL37" s="1041">
        <f t="shared" si="15"/>
        <v>30</v>
      </c>
      <c r="AM37" s="1047">
        <f t="shared" si="16"/>
        <v>0</v>
      </c>
    </row>
    <row r="38" spans="2:39" ht="12.75" customHeight="1" x14ac:dyDescent="0.3">
      <c r="B38" s="422"/>
      <c r="C38" s="122"/>
      <c r="D38" s="388"/>
      <c r="E38" s="388"/>
      <c r="F38" s="684"/>
      <c r="G38" s="710"/>
      <c r="H38" s="684"/>
      <c r="I38" s="389"/>
      <c r="J38" s="711"/>
      <c r="K38" s="472"/>
      <c r="L38" s="1049"/>
      <c r="M38" s="1049"/>
      <c r="N38" s="1051" t="str">
        <f t="shared" si="17"/>
        <v/>
      </c>
      <c r="O38" s="1051" t="str">
        <f t="shared" si="18"/>
        <v/>
      </c>
      <c r="P38" s="1125" t="str">
        <f t="shared" si="19"/>
        <v/>
      </c>
      <c r="Q38" s="472"/>
      <c r="R38" s="923" t="str">
        <f t="shared" si="27"/>
        <v/>
      </c>
      <c r="S38" s="923" t="str">
        <f t="shared" si="20"/>
        <v/>
      </c>
      <c r="T38" s="925" t="str">
        <f t="shared" si="21"/>
        <v/>
      </c>
      <c r="U38" s="545"/>
      <c r="V38" s="712"/>
      <c r="W38" s="957"/>
      <c r="X38" s="1060"/>
      <c r="Y38" s="1095" t="e">
        <f t="shared" si="5"/>
        <v>#N/A</v>
      </c>
      <c r="Z38" s="1094">
        <f>tab!$B$50</f>
        <v>0.6</v>
      </c>
      <c r="AA38" s="1126" t="e">
        <f t="shared" si="22"/>
        <v>#N/A</v>
      </c>
      <c r="AB38" s="1126" t="e">
        <f t="shared" si="23"/>
        <v>#N/A</v>
      </c>
      <c r="AC38" s="1126" t="e">
        <f t="shared" si="24"/>
        <v>#N/A</v>
      </c>
      <c r="AD38" s="1128" t="e">
        <f t="shared" si="25"/>
        <v>#VALUE!</v>
      </c>
      <c r="AE38" s="1128">
        <f t="shared" si="26"/>
        <v>0</v>
      </c>
      <c r="AF38" s="1096">
        <f>IF(H38&gt;8,tab!$B$51,tab!$B$54)</f>
        <v>0.4</v>
      </c>
      <c r="AG38" s="1097">
        <f t="shared" si="11"/>
        <v>0</v>
      </c>
      <c r="AH38" s="1093">
        <f t="shared" si="12"/>
        <v>0</v>
      </c>
      <c r="AI38" s="1120" t="b">
        <f>DATE(YEAR(tab!$C$3),MONTH(G38),DAY(G38))&gt;tab!$C$3</f>
        <v>0</v>
      </c>
      <c r="AJ38" s="1097">
        <f t="shared" si="13"/>
        <v>120</v>
      </c>
      <c r="AK38" s="1041">
        <f t="shared" si="14"/>
        <v>30</v>
      </c>
      <c r="AL38" s="1041">
        <f t="shared" si="15"/>
        <v>30</v>
      </c>
      <c r="AM38" s="1047">
        <f t="shared" si="16"/>
        <v>0</v>
      </c>
    </row>
    <row r="39" spans="2:39" ht="12.75" customHeight="1" x14ac:dyDescent="0.3">
      <c r="B39" s="422"/>
      <c r="C39" s="122"/>
      <c r="D39" s="388"/>
      <c r="E39" s="388"/>
      <c r="F39" s="684"/>
      <c r="G39" s="710"/>
      <c r="H39" s="684"/>
      <c r="I39" s="389"/>
      <c r="J39" s="711"/>
      <c r="K39" s="472"/>
      <c r="L39" s="1049"/>
      <c r="M39" s="1049"/>
      <c r="N39" s="1051" t="str">
        <f t="shared" si="17"/>
        <v/>
      </c>
      <c r="O39" s="1051" t="str">
        <f t="shared" si="18"/>
        <v/>
      </c>
      <c r="P39" s="1125" t="str">
        <f t="shared" si="19"/>
        <v/>
      </c>
      <c r="Q39" s="472"/>
      <c r="R39" s="923" t="str">
        <f t="shared" si="27"/>
        <v/>
      </c>
      <c r="S39" s="923" t="str">
        <f t="shared" si="20"/>
        <v/>
      </c>
      <c r="T39" s="925" t="str">
        <f t="shared" si="21"/>
        <v/>
      </c>
      <c r="U39" s="545"/>
      <c r="V39" s="712"/>
      <c r="W39" s="957"/>
      <c r="X39" s="1060"/>
      <c r="Y39" s="1095" t="e">
        <f t="shared" si="5"/>
        <v>#N/A</v>
      </c>
      <c r="Z39" s="1094">
        <f>tab!$B$50</f>
        <v>0.6</v>
      </c>
      <c r="AA39" s="1126" t="e">
        <f t="shared" si="22"/>
        <v>#N/A</v>
      </c>
      <c r="AB39" s="1126" t="e">
        <f t="shared" si="23"/>
        <v>#N/A</v>
      </c>
      <c r="AC39" s="1126" t="e">
        <f t="shared" si="24"/>
        <v>#N/A</v>
      </c>
      <c r="AD39" s="1128" t="e">
        <f t="shared" si="25"/>
        <v>#VALUE!</v>
      </c>
      <c r="AE39" s="1128">
        <f t="shared" si="26"/>
        <v>0</v>
      </c>
      <c r="AF39" s="1096">
        <f>IF(H39&gt;8,tab!$B$51,tab!$B$54)</f>
        <v>0.4</v>
      </c>
      <c r="AG39" s="1097">
        <f t="shared" si="11"/>
        <v>0</v>
      </c>
      <c r="AH39" s="1093">
        <f t="shared" si="12"/>
        <v>0</v>
      </c>
      <c r="AI39" s="1120" t="b">
        <f>DATE(YEAR(tab!$C$3),MONTH(G39),DAY(G39))&gt;tab!$C$3</f>
        <v>0</v>
      </c>
      <c r="AJ39" s="1097">
        <f t="shared" si="13"/>
        <v>120</v>
      </c>
      <c r="AK39" s="1041">
        <f t="shared" si="14"/>
        <v>30</v>
      </c>
      <c r="AL39" s="1041">
        <f t="shared" si="15"/>
        <v>30</v>
      </c>
      <c r="AM39" s="1047">
        <f t="shared" si="16"/>
        <v>0</v>
      </c>
    </row>
    <row r="40" spans="2:39" ht="12.75" customHeight="1" x14ac:dyDescent="0.3">
      <c r="B40" s="422"/>
      <c r="C40" s="122"/>
      <c r="D40" s="388"/>
      <c r="E40" s="388"/>
      <c r="F40" s="684"/>
      <c r="G40" s="710"/>
      <c r="H40" s="684"/>
      <c r="I40" s="389"/>
      <c r="J40" s="711"/>
      <c r="K40" s="472"/>
      <c r="L40" s="1049"/>
      <c r="M40" s="1049"/>
      <c r="N40" s="1051" t="str">
        <f t="shared" si="17"/>
        <v/>
      </c>
      <c r="O40" s="1051" t="str">
        <f t="shared" si="18"/>
        <v/>
      </c>
      <c r="P40" s="1125" t="str">
        <f t="shared" si="19"/>
        <v/>
      </c>
      <c r="Q40" s="472"/>
      <c r="R40" s="923" t="str">
        <f t="shared" si="27"/>
        <v/>
      </c>
      <c r="S40" s="923" t="str">
        <f t="shared" si="20"/>
        <v/>
      </c>
      <c r="T40" s="925" t="str">
        <f t="shared" si="21"/>
        <v/>
      </c>
      <c r="U40" s="545"/>
      <c r="V40" s="712"/>
      <c r="W40" s="957"/>
      <c r="X40" s="1060"/>
      <c r="Y40" s="1095" t="e">
        <f t="shared" si="5"/>
        <v>#N/A</v>
      </c>
      <c r="Z40" s="1094">
        <f>tab!$B$50</f>
        <v>0.6</v>
      </c>
      <c r="AA40" s="1126" t="e">
        <f t="shared" si="22"/>
        <v>#N/A</v>
      </c>
      <c r="AB40" s="1126" t="e">
        <f t="shared" si="23"/>
        <v>#N/A</v>
      </c>
      <c r="AC40" s="1126" t="e">
        <f t="shared" si="24"/>
        <v>#N/A</v>
      </c>
      <c r="AD40" s="1128" t="e">
        <f t="shared" si="25"/>
        <v>#VALUE!</v>
      </c>
      <c r="AE40" s="1128">
        <f t="shared" si="26"/>
        <v>0</v>
      </c>
      <c r="AF40" s="1096">
        <f>IF(H40&gt;8,tab!$B$51,tab!$B$54)</f>
        <v>0.4</v>
      </c>
      <c r="AG40" s="1097">
        <f t="shared" si="11"/>
        <v>0</v>
      </c>
      <c r="AH40" s="1093">
        <f t="shared" si="12"/>
        <v>0</v>
      </c>
      <c r="AI40" s="1120" t="b">
        <f>DATE(YEAR(tab!$C$3),MONTH(G40),DAY(G40))&gt;tab!$C$3</f>
        <v>0</v>
      </c>
      <c r="AJ40" s="1097">
        <f t="shared" si="13"/>
        <v>120</v>
      </c>
      <c r="AK40" s="1041">
        <f t="shared" si="14"/>
        <v>30</v>
      </c>
      <c r="AL40" s="1041">
        <f t="shared" si="15"/>
        <v>30</v>
      </c>
      <c r="AM40" s="1047">
        <f t="shared" si="16"/>
        <v>0</v>
      </c>
    </row>
    <row r="41" spans="2:39" ht="12.75" customHeight="1" x14ac:dyDescent="0.3">
      <c r="B41" s="422"/>
      <c r="C41" s="122"/>
      <c r="D41" s="388"/>
      <c r="E41" s="388"/>
      <c r="F41" s="684"/>
      <c r="G41" s="710"/>
      <c r="H41" s="684"/>
      <c r="I41" s="389"/>
      <c r="J41" s="711"/>
      <c r="K41" s="472"/>
      <c r="L41" s="1049"/>
      <c r="M41" s="1049"/>
      <c r="N41" s="1051" t="str">
        <f t="shared" si="17"/>
        <v/>
      </c>
      <c r="O41" s="1051" t="str">
        <f t="shared" si="18"/>
        <v/>
      </c>
      <c r="P41" s="1125" t="str">
        <f t="shared" si="19"/>
        <v/>
      </c>
      <c r="Q41" s="472"/>
      <c r="R41" s="923" t="str">
        <f t="shared" si="27"/>
        <v/>
      </c>
      <c r="S41" s="923" t="str">
        <f t="shared" si="20"/>
        <v/>
      </c>
      <c r="T41" s="925" t="str">
        <f t="shared" si="21"/>
        <v/>
      </c>
      <c r="U41" s="545"/>
      <c r="V41" s="712"/>
      <c r="W41" s="957"/>
      <c r="X41" s="1060"/>
      <c r="Y41" s="1095" t="e">
        <f t="shared" si="5"/>
        <v>#N/A</v>
      </c>
      <c r="Z41" s="1094">
        <f>tab!$B$50</f>
        <v>0.6</v>
      </c>
      <c r="AA41" s="1126" t="e">
        <f t="shared" si="22"/>
        <v>#N/A</v>
      </c>
      <c r="AB41" s="1126" t="e">
        <f t="shared" si="23"/>
        <v>#N/A</v>
      </c>
      <c r="AC41" s="1126" t="e">
        <f t="shared" si="24"/>
        <v>#N/A</v>
      </c>
      <c r="AD41" s="1128" t="e">
        <f t="shared" si="25"/>
        <v>#VALUE!</v>
      </c>
      <c r="AE41" s="1128">
        <f t="shared" si="26"/>
        <v>0</v>
      </c>
      <c r="AF41" s="1096">
        <f>IF(H41&gt;8,tab!$B$51,tab!$B$54)</f>
        <v>0.4</v>
      </c>
      <c r="AG41" s="1097">
        <f t="shared" si="11"/>
        <v>0</v>
      </c>
      <c r="AH41" s="1093">
        <f t="shared" si="12"/>
        <v>0</v>
      </c>
      <c r="AI41" s="1120" t="b">
        <f>DATE(YEAR(tab!$C$3),MONTH(G41),DAY(G41))&gt;tab!$C$3</f>
        <v>0</v>
      </c>
      <c r="AJ41" s="1097">
        <f t="shared" si="13"/>
        <v>120</v>
      </c>
      <c r="AK41" s="1041">
        <f t="shared" si="14"/>
        <v>30</v>
      </c>
      <c r="AL41" s="1041">
        <f t="shared" si="15"/>
        <v>30</v>
      </c>
      <c r="AM41" s="1047">
        <f t="shared" si="16"/>
        <v>0</v>
      </c>
    </row>
    <row r="42" spans="2:39" ht="12.75" customHeight="1" x14ac:dyDescent="0.3">
      <c r="B42" s="422"/>
      <c r="C42" s="122"/>
      <c r="D42" s="388"/>
      <c r="E42" s="388"/>
      <c r="F42" s="684"/>
      <c r="G42" s="710"/>
      <c r="H42" s="684"/>
      <c r="I42" s="389"/>
      <c r="J42" s="711"/>
      <c r="K42" s="472"/>
      <c r="L42" s="1049"/>
      <c r="M42" s="1049"/>
      <c r="N42" s="1051" t="str">
        <f t="shared" si="17"/>
        <v/>
      </c>
      <c r="O42" s="1051" t="str">
        <f t="shared" si="18"/>
        <v/>
      </c>
      <c r="P42" s="1125" t="str">
        <f t="shared" si="19"/>
        <v/>
      </c>
      <c r="Q42" s="472"/>
      <c r="R42" s="923" t="str">
        <f t="shared" si="27"/>
        <v/>
      </c>
      <c r="S42" s="923" t="str">
        <f t="shared" si="20"/>
        <v/>
      </c>
      <c r="T42" s="925" t="str">
        <f t="shared" si="21"/>
        <v/>
      </c>
      <c r="U42" s="545"/>
      <c r="V42" s="712"/>
      <c r="W42" s="957"/>
      <c r="X42" s="1060"/>
      <c r="Y42" s="1095" t="e">
        <f t="shared" si="5"/>
        <v>#N/A</v>
      </c>
      <c r="Z42" s="1094">
        <f>tab!$B$50</f>
        <v>0.6</v>
      </c>
      <c r="AA42" s="1126" t="e">
        <f t="shared" si="22"/>
        <v>#N/A</v>
      </c>
      <c r="AB42" s="1126" t="e">
        <f t="shared" si="23"/>
        <v>#N/A</v>
      </c>
      <c r="AC42" s="1126" t="e">
        <f t="shared" si="24"/>
        <v>#N/A</v>
      </c>
      <c r="AD42" s="1128" t="e">
        <f t="shared" si="25"/>
        <v>#VALUE!</v>
      </c>
      <c r="AE42" s="1128">
        <f t="shared" si="26"/>
        <v>0</v>
      </c>
      <c r="AF42" s="1096">
        <f>IF(H42&gt;8,tab!$B$51,tab!$B$54)</f>
        <v>0.4</v>
      </c>
      <c r="AG42" s="1097">
        <f t="shared" si="11"/>
        <v>0</v>
      </c>
      <c r="AH42" s="1093">
        <f t="shared" si="12"/>
        <v>0</v>
      </c>
      <c r="AI42" s="1120" t="b">
        <f>DATE(YEAR(tab!$C$3),MONTH(G42),DAY(G42))&gt;tab!$C$3</f>
        <v>0</v>
      </c>
      <c r="AJ42" s="1097">
        <f t="shared" si="13"/>
        <v>120</v>
      </c>
      <c r="AK42" s="1041">
        <f t="shared" si="14"/>
        <v>30</v>
      </c>
      <c r="AL42" s="1041">
        <f t="shared" si="15"/>
        <v>30</v>
      </c>
      <c r="AM42" s="1047">
        <f t="shared" si="16"/>
        <v>0</v>
      </c>
    </row>
    <row r="43" spans="2:39" ht="12.75" customHeight="1" x14ac:dyDescent="0.3">
      <c r="B43" s="422"/>
      <c r="C43" s="122"/>
      <c r="D43" s="388"/>
      <c r="E43" s="388"/>
      <c r="F43" s="684"/>
      <c r="G43" s="710"/>
      <c r="H43" s="684"/>
      <c r="I43" s="389"/>
      <c r="J43" s="711"/>
      <c r="K43" s="472"/>
      <c r="L43" s="1049"/>
      <c r="M43" s="1049"/>
      <c r="N43" s="1051" t="str">
        <f t="shared" si="17"/>
        <v/>
      </c>
      <c r="O43" s="1051" t="str">
        <f t="shared" si="18"/>
        <v/>
      </c>
      <c r="P43" s="1125" t="str">
        <f t="shared" si="19"/>
        <v/>
      </c>
      <c r="Q43" s="472"/>
      <c r="R43" s="923" t="str">
        <f t="shared" si="27"/>
        <v/>
      </c>
      <c r="S43" s="923" t="str">
        <f t="shared" si="20"/>
        <v/>
      </c>
      <c r="T43" s="925" t="str">
        <f t="shared" si="21"/>
        <v/>
      </c>
      <c r="U43" s="545"/>
      <c r="V43" s="712"/>
      <c r="W43" s="957"/>
      <c r="X43" s="1060"/>
      <c r="Y43" s="1095" t="e">
        <f t="shared" si="5"/>
        <v>#N/A</v>
      </c>
      <c r="Z43" s="1094">
        <f>tab!$B$50</f>
        <v>0.6</v>
      </c>
      <c r="AA43" s="1126" t="e">
        <f t="shared" si="22"/>
        <v>#N/A</v>
      </c>
      <c r="AB43" s="1126" t="e">
        <f t="shared" si="23"/>
        <v>#N/A</v>
      </c>
      <c r="AC43" s="1126" t="e">
        <f t="shared" si="24"/>
        <v>#N/A</v>
      </c>
      <c r="AD43" s="1128" t="e">
        <f t="shared" si="25"/>
        <v>#VALUE!</v>
      </c>
      <c r="AE43" s="1128">
        <f t="shared" si="26"/>
        <v>0</v>
      </c>
      <c r="AF43" s="1096">
        <f>IF(H43&gt;8,tab!$B$51,tab!$B$54)</f>
        <v>0.4</v>
      </c>
      <c r="AG43" s="1097">
        <f t="shared" si="11"/>
        <v>0</v>
      </c>
      <c r="AH43" s="1093">
        <f t="shared" si="12"/>
        <v>0</v>
      </c>
      <c r="AI43" s="1120" t="b">
        <f>DATE(YEAR(tab!$C$3),MONTH(G43),DAY(G43))&gt;tab!$C$3</f>
        <v>0</v>
      </c>
      <c r="AJ43" s="1097">
        <f t="shared" si="13"/>
        <v>120</v>
      </c>
      <c r="AK43" s="1041">
        <f t="shared" si="14"/>
        <v>30</v>
      </c>
      <c r="AL43" s="1041">
        <f t="shared" si="15"/>
        <v>30</v>
      </c>
      <c r="AM43" s="1047">
        <f t="shared" si="16"/>
        <v>0</v>
      </c>
    </row>
    <row r="44" spans="2:39" ht="12.75" customHeight="1" x14ac:dyDescent="0.3">
      <c r="B44" s="422"/>
      <c r="C44" s="122"/>
      <c r="D44" s="388"/>
      <c r="E44" s="388"/>
      <c r="F44" s="684"/>
      <c r="G44" s="710"/>
      <c r="H44" s="684"/>
      <c r="I44" s="389"/>
      <c r="J44" s="711"/>
      <c r="K44" s="472"/>
      <c r="L44" s="1049"/>
      <c r="M44" s="1049"/>
      <c r="N44" s="1051" t="str">
        <f t="shared" si="17"/>
        <v/>
      </c>
      <c r="O44" s="1051" t="str">
        <f t="shared" si="18"/>
        <v/>
      </c>
      <c r="P44" s="1125" t="str">
        <f t="shared" si="19"/>
        <v/>
      </c>
      <c r="Q44" s="472"/>
      <c r="R44" s="923" t="str">
        <f t="shared" si="27"/>
        <v/>
      </c>
      <c r="S44" s="923" t="str">
        <f t="shared" si="20"/>
        <v/>
      </c>
      <c r="T44" s="925" t="str">
        <f t="shared" si="21"/>
        <v/>
      </c>
      <c r="U44" s="545"/>
      <c r="V44" s="712"/>
      <c r="W44" s="957"/>
      <c r="X44" s="1060"/>
      <c r="Y44" s="1095" t="e">
        <f t="shared" si="5"/>
        <v>#N/A</v>
      </c>
      <c r="Z44" s="1094">
        <f>tab!$B$50</f>
        <v>0.6</v>
      </c>
      <c r="AA44" s="1126" t="e">
        <f t="shared" si="22"/>
        <v>#N/A</v>
      </c>
      <c r="AB44" s="1126" t="e">
        <f t="shared" si="23"/>
        <v>#N/A</v>
      </c>
      <c r="AC44" s="1126" t="e">
        <f t="shared" si="24"/>
        <v>#N/A</v>
      </c>
      <c r="AD44" s="1128" t="e">
        <f t="shared" si="25"/>
        <v>#VALUE!</v>
      </c>
      <c r="AE44" s="1128">
        <f t="shared" si="26"/>
        <v>0</v>
      </c>
      <c r="AF44" s="1096">
        <f>IF(H44&gt;8,tab!$B$51,tab!$B$54)</f>
        <v>0.4</v>
      </c>
      <c r="AG44" s="1097">
        <f t="shared" si="11"/>
        <v>0</v>
      </c>
      <c r="AH44" s="1093">
        <f t="shared" si="12"/>
        <v>0</v>
      </c>
      <c r="AI44" s="1120" t="b">
        <f>DATE(YEAR(tab!$C$3),MONTH(G44),DAY(G44))&gt;tab!$C$3</f>
        <v>0</v>
      </c>
      <c r="AJ44" s="1097">
        <f t="shared" si="13"/>
        <v>120</v>
      </c>
      <c r="AK44" s="1041">
        <f t="shared" si="14"/>
        <v>30</v>
      </c>
      <c r="AL44" s="1041">
        <f t="shared" si="15"/>
        <v>30</v>
      </c>
      <c r="AM44" s="1047">
        <f t="shared" si="16"/>
        <v>0</v>
      </c>
    </row>
    <row r="45" spans="2:39" ht="12.75" customHeight="1" x14ac:dyDescent="0.3">
      <c r="B45" s="422"/>
      <c r="C45" s="122"/>
      <c r="D45" s="388"/>
      <c r="E45" s="388"/>
      <c r="F45" s="684"/>
      <c r="G45" s="710"/>
      <c r="H45" s="684"/>
      <c r="I45" s="389"/>
      <c r="J45" s="711"/>
      <c r="K45" s="472"/>
      <c r="L45" s="1049"/>
      <c r="M45" s="1049"/>
      <c r="N45" s="1051" t="str">
        <f t="shared" si="17"/>
        <v/>
      </c>
      <c r="O45" s="1051" t="str">
        <f t="shared" si="18"/>
        <v/>
      </c>
      <c r="P45" s="1125" t="str">
        <f t="shared" si="19"/>
        <v/>
      </c>
      <c r="Q45" s="472"/>
      <c r="R45" s="923" t="str">
        <f t="shared" si="27"/>
        <v/>
      </c>
      <c r="S45" s="923" t="str">
        <f t="shared" si="20"/>
        <v/>
      </c>
      <c r="T45" s="925" t="str">
        <f t="shared" si="21"/>
        <v/>
      </c>
      <c r="U45" s="545"/>
      <c r="V45" s="712"/>
      <c r="W45" s="957"/>
      <c r="X45" s="1060"/>
      <c r="Y45" s="1095" t="e">
        <f t="shared" si="5"/>
        <v>#N/A</v>
      </c>
      <c r="Z45" s="1094">
        <f>tab!$B$50</f>
        <v>0.6</v>
      </c>
      <c r="AA45" s="1126" t="e">
        <f t="shared" si="22"/>
        <v>#N/A</v>
      </c>
      <c r="AB45" s="1126" t="e">
        <f t="shared" si="23"/>
        <v>#N/A</v>
      </c>
      <c r="AC45" s="1126" t="e">
        <f t="shared" si="24"/>
        <v>#N/A</v>
      </c>
      <c r="AD45" s="1128" t="e">
        <f t="shared" si="25"/>
        <v>#VALUE!</v>
      </c>
      <c r="AE45" s="1128">
        <f t="shared" si="26"/>
        <v>0</v>
      </c>
      <c r="AF45" s="1096">
        <f>IF(H45&gt;8,tab!$B$51,tab!$B$54)</f>
        <v>0.4</v>
      </c>
      <c r="AG45" s="1097">
        <f t="shared" si="11"/>
        <v>0</v>
      </c>
      <c r="AH45" s="1093">
        <f t="shared" si="12"/>
        <v>0</v>
      </c>
      <c r="AI45" s="1120" t="b">
        <f>DATE(YEAR(tab!$C$3),MONTH(G45),DAY(G45))&gt;tab!$C$3</f>
        <v>0</v>
      </c>
      <c r="AJ45" s="1097">
        <f t="shared" si="13"/>
        <v>120</v>
      </c>
      <c r="AK45" s="1041">
        <f t="shared" si="14"/>
        <v>30</v>
      </c>
      <c r="AL45" s="1041">
        <f t="shared" si="15"/>
        <v>30</v>
      </c>
      <c r="AM45" s="1047">
        <f t="shared" si="16"/>
        <v>0</v>
      </c>
    </row>
    <row r="46" spans="2:39" ht="12.75" customHeight="1" x14ac:dyDescent="0.3">
      <c r="B46" s="422"/>
      <c r="C46" s="122"/>
      <c r="D46" s="388"/>
      <c r="E46" s="388"/>
      <c r="F46" s="684"/>
      <c r="G46" s="710"/>
      <c r="H46" s="684"/>
      <c r="I46" s="389"/>
      <c r="J46" s="711"/>
      <c r="K46" s="472"/>
      <c r="L46" s="1049"/>
      <c r="M46" s="1049"/>
      <c r="N46" s="1051" t="str">
        <f t="shared" si="17"/>
        <v/>
      </c>
      <c r="O46" s="1051" t="str">
        <f t="shared" si="18"/>
        <v/>
      </c>
      <c r="P46" s="1125" t="str">
        <f t="shared" si="19"/>
        <v/>
      </c>
      <c r="Q46" s="472"/>
      <c r="R46" s="923" t="str">
        <f t="shared" si="27"/>
        <v/>
      </c>
      <c r="S46" s="923" t="str">
        <f t="shared" si="20"/>
        <v/>
      </c>
      <c r="T46" s="925" t="str">
        <f t="shared" si="21"/>
        <v/>
      </c>
      <c r="U46" s="545"/>
      <c r="V46" s="712"/>
      <c r="W46" s="957"/>
      <c r="X46" s="1060"/>
      <c r="Y46" s="1095" t="e">
        <f t="shared" si="5"/>
        <v>#N/A</v>
      </c>
      <c r="Z46" s="1094">
        <f>tab!$B$50</f>
        <v>0.6</v>
      </c>
      <c r="AA46" s="1126" t="e">
        <f t="shared" si="22"/>
        <v>#N/A</v>
      </c>
      <c r="AB46" s="1126" t="e">
        <f t="shared" si="23"/>
        <v>#N/A</v>
      </c>
      <c r="AC46" s="1126" t="e">
        <f t="shared" si="24"/>
        <v>#N/A</v>
      </c>
      <c r="AD46" s="1128" t="e">
        <f t="shared" si="25"/>
        <v>#VALUE!</v>
      </c>
      <c r="AE46" s="1128">
        <f t="shared" si="26"/>
        <v>0</v>
      </c>
      <c r="AF46" s="1096">
        <f>IF(H46&gt;8,tab!$B$51,tab!$B$54)</f>
        <v>0.4</v>
      </c>
      <c r="AG46" s="1097">
        <f t="shared" si="11"/>
        <v>0</v>
      </c>
      <c r="AH46" s="1093">
        <f t="shared" si="12"/>
        <v>0</v>
      </c>
      <c r="AI46" s="1120" t="b">
        <f>DATE(YEAR(tab!$C$3),MONTH(G46),DAY(G46))&gt;tab!$C$3</f>
        <v>0</v>
      </c>
      <c r="AJ46" s="1097">
        <f t="shared" si="13"/>
        <v>120</v>
      </c>
      <c r="AK46" s="1041">
        <f t="shared" si="14"/>
        <v>30</v>
      </c>
      <c r="AL46" s="1041">
        <f t="shared" si="15"/>
        <v>30</v>
      </c>
      <c r="AM46" s="1047">
        <f t="shared" si="16"/>
        <v>0</v>
      </c>
    </row>
    <row r="47" spans="2:39" ht="12.75" customHeight="1" x14ac:dyDescent="0.3">
      <c r="B47" s="422"/>
      <c r="C47" s="122"/>
      <c r="D47" s="388"/>
      <c r="E47" s="388"/>
      <c r="F47" s="684"/>
      <c r="G47" s="710"/>
      <c r="H47" s="684"/>
      <c r="I47" s="389"/>
      <c r="J47" s="711"/>
      <c r="K47" s="472"/>
      <c r="L47" s="1049"/>
      <c r="M47" s="1049"/>
      <c r="N47" s="1051" t="str">
        <f t="shared" si="17"/>
        <v/>
      </c>
      <c r="O47" s="1051" t="str">
        <f t="shared" si="18"/>
        <v/>
      </c>
      <c r="P47" s="1125" t="str">
        <f t="shared" si="19"/>
        <v/>
      </c>
      <c r="Q47" s="472"/>
      <c r="R47" s="923" t="str">
        <f t="shared" si="27"/>
        <v/>
      </c>
      <c r="S47" s="923" t="str">
        <f t="shared" si="20"/>
        <v/>
      </c>
      <c r="T47" s="925" t="str">
        <f t="shared" si="21"/>
        <v/>
      </c>
      <c r="U47" s="545"/>
      <c r="V47" s="712"/>
      <c r="W47" s="957"/>
      <c r="X47" s="1060"/>
      <c r="Y47" s="1095" t="e">
        <f t="shared" si="5"/>
        <v>#N/A</v>
      </c>
      <c r="Z47" s="1094">
        <f>tab!$B$50</f>
        <v>0.6</v>
      </c>
      <c r="AA47" s="1126" t="e">
        <f t="shared" si="22"/>
        <v>#N/A</v>
      </c>
      <c r="AB47" s="1126" t="e">
        <f t="shared" si="23"/>
        <v>#N/A</v>
      </c>
      <c r="AC47" s="1126" t="e">
        <f t="shared" si="24"/>
        <v>#N/A</v>
      </c>
      <c r="AD47" s="1128" t="e">
        <f t="shared" si="25"/>
        <v>#VALUE!</v>
      </c>
      <c r="AE47" s="1128">
        <f t="shared" si="26"/>
        <v>0</v>
      </c>
      <c r="AF47" s="1096">
        <f>IF(H47&gt;8,tab!$B$51,tab!$B$54)</f>
        <v>0.4</v>
      </c>
      <c r="AG47" s="1097">
        <f t="shared" si="11"/>
        <v>0</v>
      </c>
      <c r="AH47" s="1093">
        <f t="shared" si="12"/>
        <v>0</v>
      </c>
      <c r="AI47" s="1120" t="b">
        <f>DATE(YEAR(tab!$C$3),MONTH(G47),DAY(G47))&gt;tab!$C$3</f>
        <v>0</v>
      </c>
      <c r="AJ47" s="1097">
        <f t="shared" si="13"/>
        <v>120</v>
      </c>
      <c r="AK47" s="1041">
        <f t="shared" si="14"/>
        <v>30</v>
      </c>
      <c r="AL47" s="1041">
        <f t="shared" si="15"/>
        <v>30</v>
      </c>
      <c r="AM47" s="1047">
        <f t="shared" si="16"/>
        <v>0</v>
      </c>
    </row>
    <row r="48" spans="2:39" ht="12.75" customHeight="1" x14ac:dyDescent="0.3">
      <c r="B48" s="422"/>
      <c r="C48" s="122"/>
      <c r="D48" s="388"/>
      <c r="E48" s="388"/>
      <c r="F48" s="684"/>
      <c r="G48" s="710"/>
      <c r="H48" s="684"/>
      <c r="I48" s="389"/>
      <c r="J48" s="711"/>
      <c r="K48" s="472"/>
      <c r="L48" s="1049"/>
      <c r="M48" s="1049"/>
      <c r="N48" s="1051" t="str">
        <f t="shared" si="17"/>
        <v/>
      </c>
      <c r="O48" s="1051" t="str">
        <f t="shared" si="18"/>
        <v/>
      </c>
      <c r="P48" s="1125" t="str">
        <f t="shared" si="19"/>
        <v/>
      </c>
      <c r="Q48" s="472"/>
      <c r="R48" s="923" t="str">
        <f t="shared" si="27"/>
        <v/>
      </c>
      <c r="S48" s="923" t="str">
        <f t="shared" si="20"/>
        <v/>
      </c>
      <c r="T48" s="925" t="str">
        <f t="shared" si="21"/>
        <v/>
      </c>
      <c r="U48" s="545"/>
      <c r="V48" s="712"/>
      <c r="W48" s="957"/>
      <c r="X48" s="1060"/>
      <c r="Y48" s="1095" t="e">
        <f t="shared" ref="Y48:Y71" si="28">ROUND(5/12*VLOOKUP(H48,salaris2019,I48+1,FALSE)+7/12*VLOOKUP(H48,salaris2020,I48+1,FALSE),2)</f>
        <v>#N/A</v>
      </c>
      <c r="Z48" s="1094">
        <f>tab!$B$50</f>
        <v>0.6</v>
      </c>
      <c r="AA48" s="1126" t="e">
        <f t="shared" si="22"/>
        <v>#N/A</v>
      </c>
      <c r="AB48" s="1126" t="e">
        <f t="shared" si="23"/>
        <v>#N/A</v>
      </c>
      <c r="AC48" s="1126" t="e">
        <f t="shared" si="24"/>
        <v>#N/A</v>
      </c>
      <c r="AD48" s="1128" t="e">
        <f t="shared" si="25"/>
        <v>#VALUE!</v>
      </c>
      <c r="AE48" s="1128">
        <f t="shared" si="26"/>
        <v>0</v>
      </c>
      <c r="AF48" s="1096">
        <f>IF(H48&gt;8,tab!$B$51,tab!$B$54)</f>
        <v>0.4</v>
      </c>
      <c r="AG48" s="1097">
        <f t="shared" ref="AG48:AG70" si="29">IF(F48&lt;25,0,IF(F48=25,25,IF(F48&lt;40,0,IF(F48=40,40,IF(F48&gt;=40,0)))))</f>
        <v>0</v>
      </c>
      <c r="AH48" s="1093">
        <f t="shared" ref="AH48:AH70" si="30">IF(AG48=25,(Y48*1.08*(J48)/2),IF(AG48=40,(Y48*1.08*(J48)),IF(AG48=0,0)))</f>
        <v>0</v>
      </c>
      <c r="AI48" s="1120" t="b">
        <f>DATE(YEAR(tab!$C$3),MONTH(G48),DAY(G48))&gt;tab!$C$3</f>
        <v>0</v>
      </c>
      <c r="AJ48" s="1097">
        <f t="shared" ref="AJ48:AJ70" si="31">YEAR($E$9)-YEAR(G48)-AI48</f>
        <v>120</v>
      </c>
      <c r="AK48" s="1041">
        <f t="shared" ref="AK48:AK70" si="32">IF((G48=""),30,AJ48)</f>
        <v>30</v>
      </c>
      <c r="AL48" s="1041">
        <f t="shared" ref="AL48:AL70" si="33">IF((AK48)&gt;50,50,(AK48))</f>
        <v>30</v>
      </c>
      <c r="AM48" s="1047">
        <f t="shared" ref="AM48:AM70" si="34">(AL48*(SUM(J48:J48)))</f>
        <v>0</v>
      </c>
    </row>
    <row r="49" spans="2:39" ht="12.75" customHeight="1" x14ac:dyDescent="0.3">
      <c r="B49" s="422"/>
      <c r="C49" s="122"/>
      <c r="D49" s="388"/>
      <c r="E49" s="388"/>
      <c r="F49" s="684"/>
      <c r="G49" s="710"/>
      <c r="H49" s="684"/>
      <c r="I49" s="389"/>
      <c r="J49" s="711"/>
      <c r="K49" s="472"/>
      <c r="L49" s="1049"/>
      <c r="M49" s="1049"/>
      <c r="N49" s="1051" t="str">
        <f t="shared" si="17"/>
        <v/>
      </c>
      <c r="O49" s="1051" t="str">
        <f t="shared" si="18"/>
        <v/>
      </c>
      <c r="P49" s="1125" t="str">
        <f t="shared" si="19"/>
        <v/>
      </c>
      <c r="Q49" s="472"/>
      <c r="R49" s="923" t="str">
        <f t="shared" si="27"/>
        <v/>
      </c>
      <c r="S49" s="923" t="str">
        <f t="shared" si="20"/>
        <v/>
      </c>
      <c r="T49" s="925" t="str">
        <f t="shared" si="21"/>
        <v/>
      </c>
      <c r="U49" s="545"/>
      <c r="V49" s="712"/>
      <c r="W49" s="957"/>
      <c r="X49" s="1060"/>
      <c r="Y49" s="1095" t="e">
        <f t="shared" si="28"/>
        <v>#N/A</v>
      </c>
      <c r="Z49" s="1094">
        <f>tab!$B$50</f>
        <v>0.6</v>
      </c>
      <c r="AA49" s="1126" t="e">
        <f t="shared" si="22"/>
        <v>#N/A</v>
      </c>
      <c r="AB49" s="1126" t="e">
        <f t="shared" si="23"/>
        <v>#N/A</v>
      </c>
      <c r="AC49" s="1126" t="e">
        <f t="shared" si="24"/>
        <v>#N/A</v>
      </c>
      <c r="AD49" s="1128" t="e">
        <f t="shared" si="25"/>
        <v>#VALUE!</v>
      </c>
      <c r="AE49" s="1128">
        <f t="shared" si="26"/>
        <v>0</v>
      </c>
      <c r="AF49" s="1096">
        <f>IF(H49&gt;8,tab!$B$51,tab!$B$54)</f>
        <v>0.4</v>
      </c>
      <c r="AG49" s="1097">
        <f t="shared" si="29"/>
        <v>0</v>
      </c>
      <c r="AH49" s="1093">
        <f t="shared" si="30"/>
        <v>0</v>
      </c>
      <c r="AI49" s="1120" t="b">
        <f>DATE(YEAR(tab!$C$3),MONTH(G49),DAY(G49))&gt;tab!$C$3</f>
        <v>0</v>
      </c>
      <c r="AJ49" s="1097">
        <f t="shared" si="31"/>
        <v>120</v>
      </c>
      <c r="AK49" s="1041">
        <f t="shared" si="32"/>
        <v>30</v>
      </c>
      <c r="AL49" s="1041">
        <f t="shared" si="33"/>
        <v>30</v>
      </c>
      <c r="AM49" s="1047">
        <f t="shared" si="34"/>
        <v>0</v>
      </c>
    </row>
    <row r="50" spans="2:39" ht="12.75" customHeight="1" x14ac:dyDescent="0.3">
      <c r="B50" s="422"/>
      <c r="C50" s="122"/>
      <c r="D50" s="388"/>
      <c r="E50" s="388"/>
      <c r="F50" s="684"/>
      <c r="G50" s="710"/>
      <c r="H50" s="684"/>
      <c r="I50" s="389"/>
      <c r="J50" s="711"/>
      <c r="K50" s="472"/>
      <c r="L50" s="1049"/>
      <c r="M50" s="1049"/>
      <c r="N50" s="1051" t="str">
        <f t="shared" si="17"/>
        <v/>
      </c>
      <c r="O50" s="1051" t="str">
        <f t="shared" si="18"/>
        <v/>
      </c>
      <c r="P50" s="1125" t="str">
        <f t="shared" si="19"/>
        <v/>
      </c>
      <c r="Q50" s="472"/>
      <c r="R50" s="923" t="str">
        <f t="shared" si="27"/>
        <v/>
      </c>
      <c r="S50" s="923" t="str">
        <f t="shared" si="20"/>
        <v/>
      </c>
      <c r="T50" s="925" t="str">
        <f t="shared" si="21"/>
        <v/>
      </c>
      <c r="U50" s="545"/>
      <c r="V50" s="712"/>
      <c r="W50" s="957"/>
      <c r="X50" s="1060"/>
      <c r="Y50" s="1095" t="e">
        <f t="shared" si="28"/>
        <v>#N/A</v>
      </c>
      <c r="Z50" s="1094">
        <f>tab!$B$50</f>
        <v>0.6</v>
      </c>
      <c r="AA50" s="1126" t="e">
        <f t="shared" si="22"/>
        <v>#N/A</v>
      </c>
      <c r="AB50" s="1126" t="e">
        <f t="shared" si="23"/>
        <v>#N/A</v>
      </c>
      <c r="AC50" s="1126" t="e">
        <f t="shared" si="24"/>
        <v>#N/A</v>
      </c>
      <c r="AD50" s="1128" t="e">
        <f t="shared" si="25"/>
        <v>#VALUE!</v>
      </c>
      <c r="AE50" s="1128">
        <f t="shared" si="26"/>
        <v>0</v>
      </c>
      <c r="AF50" s="1096">
        <f>IF(H50&gt;8,tab!$B$51,tab!$B$54)</f>
        <v>0.4</v>
      </c>
      <c r="AG50" s="1097">
        <f t="shared" si="29"/>
        <v>0</v>
      </c>
      <c r="AH50" s="1093">
        <f t="shared" si="30"/>
        <v>0</v>
      </c>
      <c r="AI50" s="1120" t="b">
        <f>DATE(YEAR(tab!$C$3),MONTH(G50),DAY(G50))&gt;tab!$C$3</f>
        <v>0</v>
      </c>
      <c r="AJ50" s="1097">
        <f t="shared" si="31"/>
        <v>120</v>
      </c>
      <c r="AK50" s="1041">
        <f t="shared" si="32"/>
        <v>30</v>
      </c>
      <c r="AL50" s="1041">
        <f t="shared" si="33"/>
        <v>30</v>
      </c>
      <c r="AM50" s="1047">
        <f t="shared" si="34"/>
        <v>0</v>
      </c>
    </row>
    <row r="51" spans="2:39" ht="12.75" customHeight="1" x14ac:dyDescent="0.3">
      <c r="B51" s="422"/>
      <c r="C51" s="122"/>
      <c r="D51" s="388"/>
      <c r="E51" s="388"/>
      <c r="F51" s="684"/>
      <c r="G51" s="710"/>
      <c r="H51" s="684"/>
      <c r="I51" s="389"/>
      <c r="J51" s="711"/>
      <c r="K51" s="472"/>
      <c r="L51" s="1049"/>
      <c r="M51" s="1049"/>
      <c r="N51" s="1051" t="str">
        <f t="shared" si="17"/>
        <v/>
      </c>
      <c r="O51" s="1051" t="str">
        <f t="shared" si="18"/>
        <v/>
      </c>
      <c r="P51" s="1125" t="str">
        <f t="shared" si="19"/>
        <v/>
      </c>
      <c r="Q51" s="472"/>
      <c r="R51" s="923" t="str">
        <f t="shared" si="27"/>
        <v/>
      </c>
      <c r="S51" s="923" t="str">
        <f t="shared" si="20"/>
        <v/>
      </c>
      <c r="T51" s="925" t="str">
        <f t="shared" si="21"/>
        <v/>
      </c>
      <c r="U51" s="545"/>
      <c r="V51" s="712"/>
      <c r="W51" s="957"/>
      <c r="X51" s="1060"/>
      <c r="Y51" s="1095" t="e">
        <f t="shared" si="28"/>
        <v>#N/A</v>
      </c>
      <c r="Z51" s="1094">
        <f>tab!$B$50</f>
        <v>0.6</v>
      </c>
      <c r="AA51" s="1126" t="e">
        <f t="shared" si="22"/>
        <v>#N/A</v>
      </c>
      <c r="AB51" s="1126" t="e">
        <f t="shared" si="23"/>
        <v>#N/A</v>
      </c>
      <c r="AC51" s="1126" t="e">
        <f t="shared" si="24"/>
        <v>#N/A</v>
      </c>
      <c r="AD51" s="1128" t="e">
        <f t="shared" si="25"/>
        <v>#VALUE!</v>
      </c>
      <c r="AE51" s="1128">
        <f t="shared" si="26"/>
        <v>0</v>
      </c>
      <c r="AF51" s="1096">
        <f>IF(H51&gt;8,tab!$B$51,tab!$B$54)</f>
        <v>0.4</v>
      </c>
      <c r="AG51" s="1097">
        <f t="shared" si="29"/>
        <v>0</v>
      </c>
      <c r="AH51" s="1093">
        <f t="shared" si="30"/>
        <v>0</v>
      </c>
      <c r="AI51" s="1120" t="b">
        <f>DATE(YEAR(tab!$C$3),MONTH(G51),DAY(G51))&gt;tab!$C$3</f>
        <v>0</v>
      </c>
      <c r="AJ51" s="1097">
        <f t="shared" si="31"/>
        <v>120</v>
      </c>
      <c r="AK51" s="1041">
        <f t="shared" si="32"/>
        <v>30</v>
      </c>
      <c r="AL51" s="1041">
        <f t="shared" si="33"/>
        <v>30</v>
      </c>
      <c r="AM51" s="1047">
        <f t="shared" si="34"/>
        <v>0</v>
      </c>
    </row>
    <row r="52" spans="2:39" ht="12.75" customHeight="1" x14ac:dyDescent="0.3">
      <c r="B52" s="422"/>
      <c r="C52" s="122"/>
      <c r="D52" s="388"/>
      <c r="E52" s="388"/>
      <c r="F52" s="684"/>
      <c r="G52" s="710"/>
      <c r="H52" s="684"/>
      <c r="I52" s="389"/>
      <c r="J52" s="711"/>
      <c r="K52" s="472"/>
      <c r="L52" s="1049"/>
      <c r="M52" s="1049"/>
      <c r="N52" s="1051" t="str">
        <f t="shared" si="17"/>
        <v/>
      </c>
      <c r="O52" s="1051" t="str">
        <f t="shared" si="18"/>
        <v/>
      </c>
      <c r="P52" s="1125" t="str">
        <f t="shared" si="19"/>
        <v/>
      </c>
      <c r="Q52" s="472"/>
      <c r="R52" s="923" t="str">
        <f t="shared" si="27"/>
        <v/>
      </c>
      <c r="S52" s="923" t="str">
        <f t="shared" si="20"/>
        <v/>
      </c>
      <c r="T52" s="925" t="str">
        <f t="shared" si="21"/>
        <v/>
      </c>
      <c r="U52" s="545"/>
      <c r="V52" s="712"/>
      <c r="W52" s="957"/>
      <c r="X52" s="1060"/>
      <c r="Y52" s="1095" t="e">
        <f t="shared" si="28"/>
        <v>#N/A</v>
      </c>
      <c r="Z52" s="1094">
        <f>tab!$B$50</f>
        <v>0.6</v>
      </c>
      <c r="AA52" s="1126" t="e">
        <f t="shared" si="22"/>
        <v>#N/A</v>
      </c>
      <c r="AB52" s="1126" t="e">
        <f t="shared" si="23"/>
        <v>#N/A</v>
      </c>
      <c r="AC52" s="1126" t="e">
        <f t="shared" si="24"/>
        <v>#N/A</v>
      </c>
      <c r="AD52" s="1128" t="e">
        <f t="shared" si="25"/>
        <v>#VALUE!</v>
      </c>
      <c r="AE52" s="1128">
        <f t="shared" si="26"/>
        <v>0</v>
      </c>
      <c r="AF52" s="1096">
        <f>IF(H52&gt;8,tab!$B$51,tab!$B$54)</f>
        <v>0.4</v>
      </c>
      <c r="AG52" s="1097">
        <f t="shared" si="29"/>
        <v>0</v>
      </c>
      <c r="AH52" s="1093">
        <f t="shared" si="30"/>
        <v>0</v>
      </c>
      <c r="AI52" s="1120" t="b">
        <f>DATE(YEAR(tab!$C$3),MONTH(G52),DAY(G52))&gt;tab!$C$3</f>
        <v>0</v>
      </c>
      <c r="AJ52" s="1097">
        <f t="shared" si="31"/>
        <v>120</v>
      </c>
      <c r="AK52" s="1041">
        <f t="shared" si="32"/>
        <v>30</v>
      </c>
      <c r="AL52" s="1041">
        <f t="shared" si="33"/>
        <v>30</v>
      </c>
      <c r="AM52" s="1047">
        <f t="shared" si="34"/>
        <v>0</v>
      </c>
    </row>
    <row r="53" spans="2:39" ht="12.75" customHeight="1" x14ac:dyDescent="0.3">
      <c r="B53" s="422"/>
      <c r="C53" s="122"/>
      <c r="D53" s="388"/>
      <c r="E53" s="388"/>
      <c r="F53" s="684"/>
      <c r="G53" s="710"/>
      <c r="H53" s="684"/>
      <c r="I53" s="389"/>
      <c r="J53" s="711"/>
      <c r="K53" s="472"/>
      <c r="L53" s="1049"/>
      <c r="M53" s="1049"/>
      <c r="N53" s="1051" t="str">
        <f t="shared" si="17"/>
        <v/>
      </c>
      <c r="O53" s="1051" t="str">
        <f t="shared" si="18"/>
        <v/>
      </c>
      <c r="P53" s="1125" t="str">
        <f t="shared" si="19"/>
        <v/>
      </c>
      <c r="Q53" s="472"/>
      <c r="R53" s="923" t="str">
        <f t="shared" si="27"/>
        <v/>
      </c>
      <c r="S53" s="923" t="str">
        <f t="shared" si="20"/>
        <v/>
      </c>
      <c r="T53" s="925" t="str">
        <f t="shared" si="21"/>
        <v/>
      </c>
      <c r="U53" s="545"/>
      <c r="V53" s="712"/>
      <c r="W53" s="957"/>
      <c r="X53" s="1060"/>
      <c r="Y53" s="1095" t="e">
        <f t="shared" si="28"/>
        <v>#N/A</v>
      </c>
      <c r="Z53" s="1094">
        <f>tab!$B$50</f>
        <v>0.6</v>
      </c>
      <c r="AA53" s="1126" t="e">
        <f t="shared" si="22"/>
        <v>#N/A</v>
      </c>
      <c r="AB53" s="1126" t="e">
        <f t="shared" si="23"/>
        <v>#N/A</v>
      </c>
      <c r="AC53" s="1126" t="e">
        <f t="shared" si="24"/>
        <v>#N/A</v>
      </c>
      <c r="AD53" s="1128" t="e">
        <f t="shared" si="25"/>
        <v>#VALUE!</v>
      </c>
      <c r="AE53" s="1128">
        <f t="shared" si="26"/>
        <v>0</v>
      </c>
      <c r="AF53" s="1096">
        <f>IF(H53&gt;8,tab!$B$51,tab!$B$54)</f>
        <v>0.4</v>
      </c>
      <c r="AG53" s="1097">
        <f t="shared" si="29"/>
        <v>0</v>
      </c>
      <c r="AH53" s="1093">
        <f t="shared" si="30"/>
        <v>0</v>
      </c>
      <c r="AI53" s="1120" t="b">
        <f>DATE(YEAR(tab!$C$3),MONTH(G53),DAY(G53))&gt;tab!$C$3</f>
        <v>0</v>
      </c>
      <c r="AJ53" s="1097">
        <f t="shared" si="31"/>
        <v>120</v>
      </c>
      <c r="AK53" s="1041">
        <f t="shared" si="32"/>
        <v>30</v>
      </c>
      <c r="AL53" s="1041">
        <f t="shared" si="33"/>
        <v>30</v>
      </c>
      <c r="AM53" s="1047">
        <f t="shared" si="34"/>
        <v>0</v>
      </c>
    </row>
    <row r="54" spans="2:39" ht="12.75" customHeight="1" x14ac:dyDescent="0.3">
      <c r="B54" s="422"/>
      <c r="C54" s="122"/>
      <c r="D54" s="388"/>
      <c r="E54" s="388"/>
      <c r="F54" s="684"/>
      <c r="G54" s="710"/>
      <c r="H54" s="684"/>
      <c r="I54" s="389"/>
      <c r="J54" s="711"/>
      <c r="K54" s="472"/>
      <c r="L54" s="1049"/>
      <c r="M54" s="1049"/>
      <c r="N54" s="1051" t="str">
        <f t="shared" si="17"/>
        <v/>
      </c>
      <c r="O54" s="1051" t="str">
        <f t="shared" si="18"/>
        <v/>
      </c>
      <c r="P54" s="1125" t="str">
        <f t="shared" si="19"/>
        <v/>
      </c>
      <c r="Q54" s="472"/>
      <c r="R54" s="923" t="str">
        <f t="shared" si="27"/>
        <v/>
      </c>
      <c r="S54" s="923" t="str">
        <f t="shared" si="20"/>
        <v/>
      </c>
      <c r="T54" s="925" t="str">
        <f t="shared" si="21"/>
        <v/>
      </c>
      <c r="U54" s="545"/>
      <c r="V54" s="712"/>
      <c r="W54" s="957"/>
      <c r="X54" s="1060"/>
      <c r="Y54" s="1095" t="e">
        <f t="shared" si="28"/>
        <v>#N/A</v>
      </c>
      <c r="Z54" s="1094">
        <f>tab!$B$50</f>
        <v>0.6</v>
      </c>
      <c r="AA54" s="1126" t="e">
        <f t="shared" si="22"/>
        <v>#N/A</v>
      </c>
      <c r="AB54" s="1126" t="e">
        <f t="shared" si="23"/>
        <v>#N/A</v>
      </c>
      <c r="AC54" s="1126" t="e">
        <f t="shared" si="24"/>
        <v>#N/A</v>
      </c>
      <c r="AD54" s="1128" t="e">
        <f t="shared" si="25"/>
        <v>#VALUE!</v>
      </c>
      <c r="AE54" s="1128">
        <f t="shared" si="26"/>
        <v>0</v>
      </c>
      <c r="AF54" s="1096">
        <f>IF(H54&gt;8,tab!$B$51,tab!$B$54)</f>
        <v>0.4</v>
      </c>
      <c r="AG54" s="1097">
        <f t="shared" si="29"/>
        <v>0</v>
      </c>
      <c r="AH54" s="1093">
        <f t="shared" si="30"/>
        <v>0</v>
      </c>
      <c r="AI54" s="1120" t="b">
        <f>DATE(YEAR(tab!$C$3),MONTH(G54),DAY(G54))&gt;tab!$C$3</f>
        <v>0</v>
      </c>
      <c r="AJ54" s="1097">
        <f t="shared" si="31"/>
        <v>120</v>
      </c>
      <c r="AK54" s="1041">
        <f t="shared" si="32"/>
        <v>30</v>
      </c>
      <c r="AL54" s="1041">
        <f t="shared" si="33"/>
        <v>30</v>
      </c>
      <c r="AM54" s="1047">
        <f t="shared" si="34"/>
        <v>0</v>
      </c>
    </row>
    <row r="55" spans="2:39" ht="12.75" customHeight="1" x14ac:dyDescent="0.3">
      <c r="B55" s="422"/>
      <c r="C55" s="122"/>
      <c r="D55" s="388"/>
      <c r="E55" s="388"/>
      <c r="F55" s="684"/>
      <c r="G55" s="710"/>
      <c r="H55" s="684"/>
      <c r="I55" s="389"/>
      <c r="J55" s="711"/>
      <c r="K55" s="472"/>
      <c r="L55" s="1049"/>
      <c r="M55" s="1049"/>
      <c r="N55" s="1051" t="str">
        <f t="shared" si="17"/>
        <v/>
      </c>
      <c r="O55" s="1051" t="str">
        <f t="shared" si="18"/>
        <v/>
      </c>
      <c r="P55" s="1125" t="str">
        <f t="shared" si="19"/>
        <v/>
      </c>
      <c r="Q55" s="472"/>
      <c r="R55" s="923" t="str">
        <f t="shared" si="27"/>
        <v/>
      </c>
      <c r="S55" s="923" t="str">
        <f t="shared" si="20"/>
        <v/>
      </c>
      <c r="T55" s="925" t="str">
        <f t="shared" si="21"/>
        <v/>
      </c>
      <c r="U55" s="545"/>
      <c r="V55" s="712"/>
      <c r="W55" s="957"/>
      <c r="X55" s="1060"/>
      <c r="Y55" s="1095" t="e">
        <f t="shared" si="28"/>
        <v>#N/A</v>
      </c>
      <c r="Z55" s="1094">
        <f>tab!$B$50</f>
        <v>0.6</v>
      </c>
      <c r="AA55" s="1126" t="e">
        <f t="shared" si="22"/>
        <v>#N/A</v>
      </c>
      <c r="AB55" s="1126" t="e">
        <f t="shared" si="23"/>
        <v>#N/A</v>
      </c>
      <c r="AC55" s="1126" t="e">
        <f t="shared" si="24"/>
        <v>#N/A</v>
      </c>
      <c r="AD55" s="1128" t="e">
        <f t="shared" si="25"/>
        <v>#VALUE!</v>
      </c>
      <c r="AE55" s="1128">
        <f t="shared" si="26"/>
        <v>0</v>
      </c>
      <c r="AF55" s="1096">
        <f>IF(H55&gt;8,tab!$B$51,tab!$B$54)</f>
        <v>0.4</v>
      </c>
      <c r="AG55" s="1097">
        <f t="shared" si="29"/>
        <v>0</v>
      </c>
      <c r="AH55" s="1093">
        <f t="shared" si="30"/>
        <v>0</v>
      </c>
      <c r="AI55" s="1120" t="b">
        <f>DATE(YEAR(tab!$C$3),MONTH(G55),DAY(G55))&gt;tab!$C$3</f>
        <v>0</v>
      </c>
      <c r="AJ55" s="1097">
        <f t="shared" si="31"/>
        <v>120</v>
      </c>
      <c r="AK55" s="1041">
        <f t="shared" si="32"/>
        <v>30</v>
      </c>
      <c r="AL55" s="1041">
        <f t="shared" si="33"/>
        <v>30</v>
      </c>
      <c r="AM55" s="1047">
        <f t="shared" si="34"/>
        <v>0</v>
      </c>
    </row>
    <row r="56" spans="2:39" ht="12.75" customHeight="1" x14ac:dyDescent="0.3">
      <c r="B56" s="422"/>
      <c r="C56" s="122"/>
      <c r="D56" s="388"/>
      <c r="E56" s="388"/>
      <c r="F56" s="684"/>
      <c r="G56" s="710"/>
      <c r="H56" s="684"/>
      <c r="I56" s="389"/>
      <c r="J56" s="711"/>
      <c r="K56" s="472"/>
      <c r="L56" s="1049"/>
      <c r="M56" s="1049"/>
      <c r="N56" s="1051" t="str">
        <f t="shared" si="17"/>
        <v/>
      </c>
      <c r="O56" s="1051" t="str">
        <f t="shared" si="18"/>
        <v/>
      </c>
      <c r="P56" s="1125" t="str">
        <f t="shared" si="19"/>
        <v/>
      </c>
      <c r="Q56" s="472"/>
      <c r="R56" s="923" t="str">
        <f t="shared" si="27"/>
        <v/>
      </c>
      <c r="S56" s="923" t="str">
        <f t="shared" si="20"/>
        <v/>
      </c>
      <c r="T56" s="925" t="str">
        <f t="shared" si="21"/>
        <v/>
      </c>
      <c r="U56" s="545"/>
      <c r="V56" s="712"/>
      <c r="W56" s="957"/>
      <c r="X56" s="1060"/>
      <c r="Y56" s="1095" t="e">
        <f t="shared" si="28"/>
        <v>#N/A</v>
      </c>
      <c r="Z56" s="1094">
        <f>tab!$B$50</f>
        <v>0.6</v>
      </c>
      <c r="AA56" s="1126" t="e">
        <f t="shared" si="22"/>
        <v>#N/A</v>
      </c>
      <c r="AB56" s="1126" t="e">
        <f t="shared" si="23"/>
        <v>#N/A</v>
      </c>
      <c r="AC56" s="1126" t="e">
        <f t="shared" si="24"/>
        <v>#N/A</v>
      </c>
      <c r="AD56" s="1128" t="e">
        <f t="shared" si="25"/>
        <v>#VALUE!</v>
      </c>
      <c r="AE56" s="1128">
        <f t="shared" si="26"/>
        <v>0</v>
      </c>
      <c r="AF56" s="1096">
        <f>IF(H56&gt;8,tab!$B$51,tab!$B$54)</f>
        <v>0.4</v>
      </c>
      <c r="AG56" s="1097">
        <f t="shared" si="29"/>
        <v>0</v>
      </c>
      <c r="AH56" s="1093">
        <f t="shared" si="30"/>
        <v>0</v>
      </c>
      <c r="AI56" s="1120" t="b">
        <f>DATE(YEAR(tab!$C$3),MONTH(G56),DAY(G56))&gt;tab!$C$3</f>
        <v>0</v>
      </c>
      <c r="AJ56" s="1097">
        <f t="shared" si="31"/>
        <v>120</v>
      </c>
      <c r="AK56" s="1041">
        <f t="shared" si="32"/>
        <v>30</v>
      </c>
      <c r="AL56" s="1041">
        <f t="shared" si="33"/>
        <v>30</v>
      </c>
      <c r="AM56" s="1047">
        <f t="shared" si="34"/>
        <v>0</v>
      </c>
    </row>
    <row r="57" spans="2:39" ht="12.75" customHeight="1" x14ac:dyDescent="0.3">
      <c r="B57" s="422"/>
      <c r="C57" s="122"/>
      <c r="D57" s="388"/>
      <c r="E57" s="388"/>
      <c r="F57" s="684"/>
      <c r="G57" s="710"/>
      <c r="H57" s="684"/>
      <c r="I57" s="389"/>
      <c r="J57" s="711"/>
      <c r="K57" s="472"/>
      <c r="L57" s="1049"/>
      <c r="M57" s="1049"/>
      <c r="N57" s="1051" t="str">
        <f t="shared" si="17"/>
        <v/>
      </c>
      <c r="O57" s="1051" t="str">
        <f t="shared" si="18"/>
        <v/>
      </c>
      <c r="P57" s="1125" t="str">
        <f t="shared" si="19"/>
        <v/>
      </c>
      <c r="Q57" s="472"/>
      <c r="R57" s="923" t="str">
        <f t="shared" si="27"/>
        <v/>
      </c>
      <c r="S57" s="923" t="str">
        <f t="shared" si="20"/>
        <v/>
      </c>
      <c r="T57" s="925" t="str">
        <f t="shared" si="21"/>
        <v/>
      </c>
      <c r="U57" s="545"/>
      <c r="V57" s="712"/>
      <c r="W57" s="957"/>
      <c r="X57" s="1060"/>
      <c r="Y57" s="1095" t="e">
        <f t="shared" si="28"/>
        <v>#N/A</v>
      </c>
      <c r="Z57" s="1094">
        <f>tab!$B$50</f>
        <v>0.6</v>
      </c>
      <c r="AA57" s="1126" t="e">
        <f t="shared" si="22"/>
        <v>#N/A</v>
      </c>
      <c r="AB57" s="1126" t="e">
        <f t="shared" si="23"/>
        <v>#N/A</v>
      </c>
      <c r="AC57" s="1126" t="e">
        <f t="shared" si="24"/>
        <v>#N/A</v>
      </c>
      <c r="AD57" s="1128" t="e">
        <f t="shared" si="25"/>
        <v>#VALUE!</v>
      </c>
      <c r="AE57" s="1128">
        <f t="shared" si="26"/>
        <v>0</v>
      </c>
      <c r="AF57" s="1096">
        <f>IF(H57&gt;8,tab!$B$51,tab!$B$54)</f>
        <v>0.4</v>
      </c>
      <c r="AG57" s="1097">
        <f t="shared" si="29"/>
        <v>0</v>
      </c>
      <c r="AH57" s="1093">
        <f t="shared" si="30"/>
        <v>0</v>
      </c>
      <c r="AI57" s="1120" t="b">
        <f>DATE(YEAR(tab!$C$3),MONTH(G57),DAY(G57))&gt;tab!$C$3</f>
        <v>0</v>
      </c>
      <c r="AJ57" s="1097">
        <f t="shared" si="31"/>
        <v>120</v>
      </c>
      <c r="AK57" s="1041">
        <f t="shared" si="32"/>
        <v>30</v>
      </c>
      <c r="AL57" s="1041">
        <f t="shared" si="33"/>
        <v>30</v>
      </c>
      <c r="AM57" s="1047">
        <f t="shared" si="34"/>
        <v>0</v>
      </c>
    </row>
    <row r="58" spans="2:39" ht="12.75" customHeight="1" x14ac:dyDescent="0.3">
      <c r="B58" s="422"/>
      <c r="C58" s="122"/>
      <c r="D58" s="388"/>
      <c r="E58" s="388"/>
      <c r="F58" s="684"/>
      <c r="G58" s="710"/>
      <c r="H58" s="684"/>
      <c r="I58" s="389"/>
      <c r="J58" s="711"/>
      <c r="K58" s="472"/>
      <c r="L58" s="1049"/>
      <c r="M58" s="1049"/>
      <c r="N58" s="1051" t="str">
        <f t="shared" si="17"/>
        <v/>
      </c>
      <c r="O58" s="1051" t="str">
        <f t="shared" si="18"/>
        <v/>
      </c>
      <c r="P58" s="1125" t="str">
        <f t="shared" si="19"/>
        <v/>
      </c>
      <c r="Q58" s="472"/>
      <c r="R58" s="923" t="str">
        <f t="shared" si="27"/>
        <v/>
      </c>
      <c r="S58" s="923" t="str">
        <f t="shared" si="20"/>
        <v/>
      </c>
      <c r="T58" s="925" t="str">
        <f t="shared" si="21"/>
        <v/>
      </c>
      <c r="U58" s="545"/>
      <c r="V58" s="712"/>
      <c r="W58" s="957"/>
      <c r="X58" s="1060"/>
      <c r="Y58" s="1095" t="e">
        <f t="shared" si="28"/>
        <v>#N/A</v>
      </c>
      <c r="Z58" s="1094">
        <f>tab!$B$50</f>
        <v>0.6</v>
      </c>
      <c r="AA58" s="1126" t="e">
        <f t="shared" si="22"/>
        <v>#N/A</v>
      </c>
      <c r="AB58" s="1126" t="e">
        <f t="shared" si="23"/>
        <v>#N/A</v>
      </c>
      <c r="AC58" s="1126" t="e">
        <f t="shared" si="24"/>
        <v>#N/A</v>
      </c>
      <c r="AD58" s="1128" t="e">
        <f t="shared" si="25"/>
        <v>#VALUE!</v>
      </c>
      <c r="AE58" s="1128">
        <f t="shared" si="26"/>
        <v>0</v>
      </c>
      <c r="AF58" s="1096">
        <f>IF(H58&gt;8,tab!$B$51,tab!$B$54)</f>
        <v>0.4</v>
      </c>
      <c r="AG58" s="1097">
        <f t="shared" si="29"/>
        <v>0</v>
      </c>
      <c r="AH58" s="1093">
        <f t="shared" si="30"/>
        <v>0</v>
      </c>
      <c r="AI58" s="1120" t="b">
        <f>DATE(YEAR(tab!$C$3),MONTH(G58),DAY(G58))&gt;tab!$C$3</f>
        <v>0</v>
      </c>
      <c r="AJ58" s="1097">
        <f t="shared" si="31"/>
        <v>120</v>
      </c>
      <c r="AK58" s="1041">
        <f t="shared" si="32"/>
        <v>30</v>
      </c>
      <c r="AL58" s="1041">
        <f t="shared" si="33"/>
        <v>30</v>
      </c>
      <c r="AM58" s="1047">
        <f t="shared" si="34"/>
        <v>0</v>
      </c>
    </row>
    <row r="59" spans="2:39" ht="12.75" customHeight="1" x14ac:dyDescent="0.3">
      <c r="B59" s="422"/>
      <c r="C59" s="122"/>
      <c r="D59" s="388"/>
      <c r="E59" s="388"/>
      <c r="F59" s="684"/>
      <c r="G59" s="710"/>
      <c r="H59" s="684"/>
      <c r="I59" s="389"/>
      <c r="J59" s="711"/>
      <c r="K59" s="472"/>
      <c r="L59" s="1049"/>
      <c r="M59" s="1049"/>
      <c r="N59" s="1051" t="str">
        <f t="shared" si="17"/>
        <v/>
      </c>
      <c r="O59" s="1051" t="str">
        <f t="shared" si="18"/>
        <v/>
      </c>
      <c r="P59" s="1125" t="str">
        <f t="shared" si="19"/>
        <v/>
      </c>
      <c r="Q59" s="472"/>
      <c r="R59" s="923" t="str">
        <f t="shared" si="27"/>
        <v/>
      </c>
      <c r="S59" s="923" t="str">
        <f t="shared" si="20"/>
        <v/>
      </c>
      <c r="T59" s="925" t="str">
        <f t="shared" si="21"/>
        <v/>
      </c>
      <c r="U59" s="545"/>
      <c r="V59" s="712"/>
      <c r="W59" s="957"/>
      <c r="X59" s="1060"/>
      <c r="Y59" s="1095" t="e">
        <f t="shared" si="28"/>
        <v>#N/A</v>
      </c>
      <c r="Z59" s="1094">
        <f>tab!$B$50</f>
        <v>0.6</v>
      </c>
      <c r="AA59" s="1126" t="e">
        <f t="shared" si="22"/>
        <v>#N/A</v>
      </c>
      <c r="AB59" s="1126" t="e">
        <f t="shared" si="23"/>
        <v>#N/A</v>
      </c>
      <c r="AC59" s="1126" t="e">
        <f t="shared" si="24"/>
        <v>#N/A</v>
      </c>
      <c r="AD59" s="1128" t="e">
        <f t="shared" si="25"/>
        <v>#VALUE!</v>
      </c>
      <c r="AE59" s="1128">
        <f t="shared" si="26"/>
        <v>0</v>
      </c>
      <c r="AF59" s="1096">
        <f>IF(H59&gt;8,tab!$B$51,tab!$B$54)</f>
        <v>0.4</v>
      </c>
      <c r="AG59" s="1097">
        <f t="shared" si="29"/>
        <v>0</v>
      </c>
      <c r="AH59" s="1093">
        <f t="shared" si="30"/>
        <v>0</v>
      </c>
      <c r="AI59" s="1120" t="b">
        <f>DATE(YEAR(tab!$C$3),MONTH(G59),DAY(G59))&gt;tab!$C$3</f>
        <v>0</v>
      </c>
      <c r="AJ59" s="1097">
        <f t="shared" si="31"/>
        <v>120</v>
      </c>
      <c r="AK59" s="1041">
        <f t="shared" si="32"/>
        <v>30</v>
      </c>
      <c r="AL59" s="1041">
        <f t="shared" si="33"/>
        <v>30</v>
      </c>
      <c r="AM59" s="1047">
        <f t="shared" si="34"/>
        <v>0</v>
      </c>
    </row>
    <row r="60" spans="2:39" ht="12.75" customHeight="1" x14ac:dyDescent="0.3">
      <c r="B60" s="422"/>
      <c r="C60" s="122"/>
      <c r="D60" s="388"/>
      <c r="E60" s="388"/>
      <c r="F60" s="684"/>
      <c r="G60" s="710"/>
      <c r="H60" s="684"/>
      <c r="I60" s="389"/>
      <c r="J60" s="711"/>
      <c r="K60" s="472"/>
      <c r="L60" s="1049"/>
      <c r="M60" s="1049"/>
      <c r="N60" s="1051" t="str">
        <f t="shared" si="17"/>
        <v/>
      </c>
      <c r="O60" s="1051" t="str">
        <f t="shared" si="18"/>
        <v/>
      </c>
      <c r="P60" s="1125" t="str">
        <f t="shared" si="19"/>
        <v/>
      </c>
      <c r="Q60" s="472"/>
      <c r="R60" s="923" t="str">
        <f t="shared" si="27"/>
        <v/>
      </c>
      <c r="S60" s="923" t="str">
        <f t="shared" si="20"/>
        <v/>
      </c>
      <c r="T60" s="925" t="str">
        <f t="shared" si="21"/>
        <v/>
      </c>
      <c r="U60" s="545"/>
      <c r="V60" s="712"/>
      <c r="W60" s="957"/>
      <c r="X60" s="1060"/>
      <c r="Y60" s="1095" t="e">
        <f t="shared" si="28"/>
        <v>#N/A</v>
      </c>
      <c r="Z60" s="1094">
        <f>tab!$B$50</f>
        <v>0.6</v>
      </c>
      <c r="AA60" s="1126" t="e">
        <f t="shared" si="22"/>
        <v>#N/A</v>
      </c>
      <c r="AB60" s="1126" t="e">
        <f t="shared" si="23"/>
        <v>#N/A</v>
      </c>
      <c r="AC60" s="1126" t="e">
        <f t="shared" si="24"/>
        <v>#N/A</v>
      </c>
      <c r="AD60" s="1128" t="e">
        <f t="shared" si="25"/>
        <v>#VALUE!</v>
      </c>
      <c r="AE60" s="1128">
        <f t="shared" si="26"/>
        <v>0</v>
      </c>
      <c r="AF60" s="1096">
        <f>IF(H60&gt;8,tab!$B$51,tab!$B$54)</f>
        <v>0.4</v>
      </c>
      <c r="AG60" s="1097">
        <f t="shared" si="29"/>
        <v>0</v>
      </c>
      <c r="AH60" s="1093">
        <f t="shared" si="30"/>
        <v>0</v>
      </c>
      <c r="AI60" s="1120" t="b">
        <f>DATE(YEAR(tab!$C$3),MONTH(G60),DAY(G60))&gt;tab!$C$3</f>
        <v>0</v>
      </c>
      <c r="AJ60" s="1097">
        <f t="shared" si="31"/>
        <v>120</v>
      </c>
      <c r="AK60" s="1041">
        <f t="shared" si="32"/>
        <v>30</v>
      </c>
      <c r="AL60" s="1041">
        <f t="shared" si="33"/>
        <v>30</v>
      </c>
      <c r="AM60" s="1047">
        <f t="shared" si="34"/>
        <v>0</v>
      </c>
    </row>
    <row r="61" spans="2:39" ht="12.75" customHeight="1" x14ac:dyDescent="0.3">
      <c r="B61" s="422"/>
      <c r="C61" s="122"/>
      <c r="D61" s="388"/>
      <c r="E61" s="388"/>
      <c r="F61" s="684"/>
      <c r="G61" s="710"/>
      <c r="H61" s="684"/>
      <c r="I61" s="389"/>
      <c r="J61" s="711"/>
      <c r="K61" s="472"/>
      <c r="L61" s="1049"/>
      <c r="M61" s="1049"/>
      <c r="N61" s="1051" t="str">
        <f t="shared" si="17"/>
        <v/>
      </c>
      <c r="O61" s="1051" t="str">
        <f t="shared" si="18"/>
        <v/>
      </c>
      <c r="P61" s="1125" t="str">
        <f t="shared" si="19"/>
        <v/>
      </c>
      <c r="Q61" s="472"/>
      <c r="R61" s="923" t="str">
        <f t="shared" si="27"/>
        <v/>
      </c>
      <c r="S61" s="923" t="str">
        <f t="shared" si="20"/>
        <v/>
      </c>
      <c r="T61" s="925" t="str">
        <f t="shared" si="21"/>
        <v/>
      </c>
      <c r="U61" s="545"/>
      <c r="V61" s="712"/>
      <c r="W61" s="957"/>
      <c r="X61" s="1060"/>
      <c r="Y61" s="1095" t="e">
        <f t="shared" si="28"/>
        <v>#N/A</v>
      </c>
      <c r="Z61" s="1094">
        <f>tab!$B$50</f>
        <v>0.6</v>
      </c>
      <c r="AA61" s="1126" t="e">
        <f t="shared" si="22"/>
        <v>#N/A</v>
      </c>
      <c r="AB61" s="1126" t="e">
        <f t="shared" si="23"/>
        <v>#N/A</v>
      </c>
      <c r="AC61" s="1126" t="e">
        <f t="shared" si="24"/>
        <v>#N/A</v>
      </c>
      <c r="AD61" s="1128" t="e">
        <f t="shared" si="25"/>
        <v>#VALUE!</v>
      </c>
      <c r="AE61" s="1128">
        <f t="shared" si="26"/>
        <v>0</v>
      </c>
      <c r="AF61" s="1096">
        <f>IF(H61&gt;8,tab!$B$51,tab!$B$54)</f>
        <v>0.4</v>
      </c>
      <c r="AG61" s="1097">
        <f t="shared" si="29"/>
        <v>0</v>
      </c>
      <c r="AH61" s="1093">
        <f t="shared" si="30"/>
        <v>0</v>
      </c>
      <c r="AI61" s="1120" t="b">
        <f>DATE(YEAR(tab!$C$3),MONTH(G61),DAY(G61))&gt;tab!$C$3</f>
        <v>0</v>
      </c>
      <c r="AJ61" s="1097">
        <f t="shared" si="31"/>
        <v>120</v>
      </c>
      <c r="AK61" s="1041">
        <f t="shared" si="32"/>
        <v>30</v>
      </c>
      <c r="AL61" s="1041">
        <f t="shared" si="33"/>
        <v>30</v>
      </c>
      <c r="AM61" s="1047">
        <f t="shared" si="34"/>
        <v>0</v>
      </c>
    </row>
    <row r="62" spans="2:39" ht="12.75" customHeight="1" x14ac:dyDescent="0.3">
      <c r="B62" s="422"/>
      <c r="C62" s="122"/>
      <c r="D62" s="388"/>
      <c r="E62" s="388"/>
      <c r="F62" s="684"/>
      <c r="G62" s="710"/>
      <c r="H62" s="684"/>
      <c r="I62" s="389"/>
      <c r="J62" s="711"/>
      <c r="K62" s="472"/>
      <c r="L62" s="1049"/>
      <c r="M62" s="1049"/>
      <c r="N62" s="1051" t="str">
        <f t="shared" si="17"/>
        <v/>
      </c>
      <c r="O62" s="1051" t="str">
        <f t="shared" si="18"/>
        <v/>
      </c>
      <c r="P62" s="1125" t="str">
        <f t="shared" si="19"/>
        <v/>
      </c>
      <c r="Q62" s="472"/>
      <c r="R62" s="923" t="str">
        <f t="shared" si="27"/>
        <v/>
      </c>
      <c r="S62" s="923" t="str">
        <f t="shared" si="20"/>
        <v/>
      </c>
      <c r="T62" s="925" t="str">
        <f t="shared" si="21"/>
        <v/>
      </c>
      <c r="U62" s="545"/>
      <c r="V62" s="712"/>
      <c r="W62" s="957"/>
      <c r="X62" s="1060"/>
      <c r="Y62" s="1095" t="e">
        <f t="shared" si="28"/>
        <v>#N/A</v>
      </c>
      <c r="Z62" s="1094">
        <f>tab!$B$50</f>
        <v>0.6</v>
      </c>
      <c r="AA62" s="1126" t="e">
        <f t="shared" si="22"/>
        <v>#N/A</v>
      </c>
      <c r="AB62" s="1126" t="e">
        <f t="shared" si="23"/>
        <v>#N/A</v>
      </c>
      <c r="AC62" s="1126" t="e">
        <f t="shared" si="24"/>
        <v>#N/A</v>
      </c>
      <c r="AD62" s="1128" t="e">
        <f t="shared" si="25"/>
        <v>#VALUE!</v>
      </c>
      <c r="AE62" s="1128">
        <f t="shared" si="26"/>
        <v>0</v>
      </c>
      <c r="AF62" s="1096">
        <f>IF(H62&gt;8,tab!$B$51,tab!$B$54)</f>
        <v>0.4</v>
      </c>
      <c r="AG62" s="1097">
        <f t="shared" si="29"/>
        <v>0</v>
      </c>
      <c r="AH62" s="1093">
        <f t="shared" si="30"/>
        <v>0</v>
      </c>
      <c r="AI62" s="1120" t="b">
        <f>DATE(YEAR(tab!$C$3),MONTH(G62),DAY(G62))&gt;tab!$C$3</f>
        <v>0</v>
      </c>
      <c r="AJ62" s="1097">
        <f t="shared" si="31"/>
        <v>120</v>
      </c>
      <c r="AK62" s="1041">
        <f t="shared" si="32"/>
        <v>30</v>
      </c>
      <c r="AL62" s="1041">
        <f t="shared" si="33"/>
        <v>30</v>
      </c>
      <c r="AM62" s="1047">
        <f t="shared" si="34"/>
        <v>0</v>
      </c>
    </row>
    <row r="63" spans="2:39" ht="12.75" customHeight="1" x14ac:dyDescent="0.3">
      <c r="B63" s="422"/>
      <c r="C63" s="122"/>
      <c r="D63" s="388"/>
      <c r="E63" s="388"/>
      <c r="F63" s="684"/>
      <c r="G63" s="710"/>
      <c r="H63" s="684"/>
      <c r="I63" s="389"/>
      <c r="J63" s="711"/>
      <c r="K63" s="472"/>
      <c r="L63" s="1049"/>
      <c r="M63" s="1049"/>
      <c r="N63" s="1051" t="str">
        <f t="shared" si="17"/>
        <v/>
      </c>
      <c r="O63" s="1051" t="str">
        <f t="shared" si="18"/>
        <v/>
      </c>
      <c r="P63" s="1125" t="str">
        <f t="shared" si="19"/>
        <v/>
      </c>
      <c r="Q63" s="472"/>
      <c r="R63" s="923" t="str">
        <f t="shared" si="27"/>
        <v/>
      </c>
      <c r="S63" s="923" t="str">
        <f t="shared" si="20"/>
        <v/>
      </c>
      <c r="T63" s="925" t="str">
        <f t="shared" si="21"/>
        <v/>
      </c>
      <c r="U63" s="545"/>
      <c r="V63" s="712"/>
      <c r="W63" s="957"/>
      <c r="X63" s="1060"/>
      <c r="Y63" s="1095" t="e">
        <f t="shared" si="28"/>
        <v>#N/A</v>
      </c>
      <c r="Z63" s="1094">
        <f>tab!$B$50</f>
        <v>0.6</v>
      </c>
      <c r="AA63" s="1126" t="e">
        <f t="shared" si="22"/>
        <v>#N/A</v>
      </c>
      <c r="AB63" s="1126" t="e">
        <f t="shared" si="23"/>
        <v>#N/A</v>
      </c>
      <c r="AC63" s="1126" t="e">
        <f t="shared" si="24"/>
        <v>#N/A</v>
      </c>
      <c r="AD63" s="1128" t="e">
        <f t="shared" si="25"/>
        <v>#VALUE!</v>
      </c>
      <c r="AE63" s="1128">
        <f t="shared" si="26"/>
        <v>0</v>
      </c>
      <c r="AF63" s="1096">
        <f>IF(H63&gt;8,tab!$B$51,tab!$B$54)</f>
        <v>0.4</v>
      </c>
      <c r="AG63" s="1097">
        <f t="shared" si="29"/>
        <v>0</v>
      </c>
      <c r="AH63" s="1093">
        <f t="shared" si="30"/>
        <v>0</v>
      </c>
      <c r="AI63" s="1120" t="b">
        <f>DATE(YEAR(tab!$C$3),MONTH(G63),DAY(G63))&gt;tab!$C$3</f>
        <v>0</v>
      </c>
      <c r="AJ63" s="1097">
        <f t="shared" si="31"/>
        <v>120</v>
      </c>
      <c r="AK63" s="1041">
        <f t="shared" si="32"/>
        <v>30</v>
      </c>
      <c r="AL63" s="1041">
        <f t="shared" si="33"/>
        <v>30</v>
      </c>
      <c r="AM63" s="1047">
        <f t="shared" si="34"/>
        <v>0</v>
      </c>
    </row>
    <row r="64" spans="2:39" ht="12.75" customHeight="1" x14ac:dyDescent="0.3">
      <c r="B64" s="422"/>
      <c r="C64" s="122"/>
      <c r="D64" s="388"/>
      <c r="E64" s="388"/>
      <c r="F64" s="684"/>
      <c r="G64" s="710"/>
      <c r="H64" s="684"/>
      <c r="I64" s="389"/>
      <c r="J64" s="711"/>
      <c r="K64" s="472"/>
      <c r="L64" s="1049"/>
      <c r="M64" s="1049"/>
      <c r="N64" s="1051" t="str">
        <f t="shared" si="17"/>
        <v/>
      </c>
      <c r="O64" s="1051" t="str">
        <f t="shared" si="18"/>
        <v/>
      </c>
      <c r="P64" s="1125" t="str">
        <f t="shared" si="19"/>
        <v/>
      </c>
      <c r="Q64" s="472"/>
      <c r="R64" s="923" t="str">
        <f t="shared" si="27"/>
        <v/>
      </c>
      <c r="S64" s="923" t="str">
        <f t="shared" si="20"/>
        <v/>
      </c>
      <c r="T64" s="925" t="str">
        <f t="shared" si="21"/>
        <v/>
      </c>
      <c r="U64" s="545"/>
      <c r="V64" s="712"/>
      <c r="W64" s="957"/>
      <c r="X64" s="1060"/>
      <c r="Y64" s="1095" t="e">
        <f t="shared" si="28"/>
        <v>#N/A</v>
      </c>
      <c r="Z64" s="1094">
        <f>tab!$B$50</f>
        <v>0.6</v>
      </c>
      <c r="AA64" s="1126" t="e">
        <f t="shared" si="22"/>
        <v>#N/A</v>
      </c>
      <c r="AB64" s="1126" t="e">
        <f t="shared" si="23"/>
        <v>#N/A</v>
      </c>
      <c r="AC64" s="1126" t="e">
        <f t="shared" si="24"/>
        <v>#N/A</v>
      </c>
      <c r="AD64" s="1128" t="e">
        <f t="shared" si="25"/>
        <v>#VALUE!</v>
      </c>
      <c r="AE64" s="1128">
        <f t="shared" si="26"/>
        <v>0</v>
      </c>
      <c r="AF64" s="1096">
        <f>IF(H64&gt;8,tab!$B$51,tab!$B$54)</f>
        <v>0.4</v>
      </c>
      <c r="AG64" s="1097">
        <f t="shared" si="29"/>
        <v>0</v>
      </c>
      <c r="AH64" s="1093">
        <f t="shared" si="30"/>
        <v>0</v>
      </c>
      <c r="AI64" s="1120" t="b">
        <f>DATE(YEAR(tab!$C$3),MONTH(G64),DAY(G64))&gt;tab!$C$3</f>
        <v>0</v>
      </c>
      <c r="AJ64" s="1097">
        <f t="shared" si="31"/>
        <v>120</v>
      </c>
      <c r="AK64" s="1041">
        <f t="shared" si="32"/>
        <v>30</v>
      </c>
      <c r="AL64" s="1041">
        <f t="shared" si="33"/>
        <v>30</v>
      </c>
      <c r="AM64" s="1047">
        <f t="shared" si="34"/>
        <v>0</v>
      </c>
    </row>
    <row r="65" spans="2:50" ht="12.75" customHeight="1" x14ac:dyDescent="0.3">
      <c r="B65" s="422"/>
      <c r="C65" s="122"/>
      <c r="D65" s="388"/>
      <c r="E65" s="388"/>
      <c r="F65" s="684"/>
      <c r="G65" s="710"/>
      <c r="H65" s="684"/>
      <c r="I65" s="389"/>
      <c r="J65" s="711"/>
      <c r="K65" s="472"/>
      <c r="L65" s="1049"/>
      <c r="M65" s="1049"/>
      <c r="N65" s="1051" t="str">
        <f t="shared" si="17"/>
        <v/>
      </c>
      <c r="O65" s="1051" t="str">
        <f t="shared" si="18"/>
        <v/>
      </c>
      <c r="P65" s="1125" t="str">
        <f t="shared" si="19"/>
        <v/>
      </c>
      <c r="Q65" s="472"/>
      <c r="R65" s="923" t="str">
        <f t="shared" si="27"/>
        <v/>
      </c>
      <c r="S65" s="923" t="str">
        <f t="shared" si="20"/>
        <v/>
      </c>
      <c r="T65" s="925" t="str">
        <f t="shared" si="21"/>
        <v/>
      </c>
      <c r="U65" s="545"/>
      <c r="V65" s="712"/>
      <c r="W65" s="957"/>
      <c r="X65" s="1060"/>
      <c r="Y65" s="1095" t="e">
        <f t="shared" si="28"/>
        <v>#N/A</v>
      </c>
      <c r="Z65" s="1094">
        <f>tab!$B$50</f>
        <v>0.6</v>
      </c>
      <c r="AA65" s="1126" t="e">
        <f t="shared" si="22"/>
        <v>#N/A</v>
      </c>
      <c r="AB65" s="1126" t="e">
        <f t="shared" si="23"/>
        <v>#N/A</v>
      </c>
      <c r="AC65" s="1126" t="e">
        <f t="shared" si="24"/>
        <v>#N/A</v>
      </c>
      <c r="AD65" s="1128" t="e">
        <f t="shared" si="25"/>
        <v>#VALUE!</v>
      </c>
      <c r="AE65" s="1128">
        <f t="shared" si="26"/>
        <v>0</v>
      </c>
      <c r="AF65" s="1096">
        <f>IF(H65&gt;8,tab!$B$51,tab!$B$54)</f>
        <v>0.4</v>
      </c>
      <c r="AG65" s="1097">
        <f t="shared" si="29"/>
        <v>0</v>
      </c>
      <c r="AH65" s="1093">
        <f t="shared" si="30"/>
        <v>0</v>
      </c>
      <c r="AI65" s="1120" t="b">
        <f>DATE(YEAR(tab!$C$3),MONTH(G65),DAY(G65))&gt;tab!$C$3</f>
        <v>0</v>
      </c>
      <c r="AJ65" s="1097">
        <f t="shared" si="31"/>
        <v>120</v>
      </c>
      <c r="AK65" s="1041">
        <f t="shared" si="32"/>
        <v>30</v>
      </c>
      <c r="AL65" s="1041">
        <f t="shared" si="33"/>
        <v>30</v>
      </c>
      <c r="AM65" s="1047">
        <f t="shared" si="34"/>
        <v>0</v>
      </c>
    </row>
    <row r="66" spans="2:50" ht="12.75" customHeight="1" x14ac:dyDescent="0.3">
      <c r="B66" s="422"/>
      <c r="C66" s="122"/>
      <c r="D66" s="388"/>
      <c r="E66" s="388"/>
      <c r="F66" s="684"/>
      <c r="G66" s="710"/>
      <c r="H66" s="684"/>
      <c r="I66" s="389"/>
      <c r="J66" s="711"/>
      <c r="K66" s="472"/>
      <c r="L66" s="1049"/>
      <c r="M66" s="1049"/>
      <c r="N66" s="1051" t="str">
        <f t="shared" si="17"/>
        <v/>
      </c>
      <c r="O66" s="1051" t="str">
        <f t="shared" si="18"/>
        <v/>
      </c>
      <c r="P66" s="1125" t="str">
        <f t="shared" si="19"/>
        <v/>
      </c>
      <c r="Q66" s="472"/>
      <c r="R66" s="923" t="str">
        <f t="shared" si="27"/>
        <v/>
      </c>
      <c r="S66" s="923" t="str">
        <f t="shared" si="20"/>
        <v/>
      </c>
      <c r="T66" s="925" t="str">
        <f t="shared" si="21"/>
        <v/>
      </c>
      <c r="U66" s="545"/>
      <c r="V66" s="712"/>
      <c r="W66" s="957"/>
      <c r="X66" s="1060"/>
      <c r="Y66" s="1095" t="e">
        <f t="shared" si="28"/>
        <v>#N/A</v>
      </c>
      <c r="Z66" s="1094">
        <f>tab!$B$50</f>
        <v>0.6</v>
      </c>
      <c r="AA66" s="1126" t="e">
        <f t="shared" si="22"/>
        <v>#N/A</v>
      </c>
      <c r="AB66" s="1126" t="e">
        <f t="shared" si="23"/>
        <v>#N/A</v>
      </c>
      <c r="AC66" s="1126" t="e">
        <f t="shared" si="24"/>
        <v>#N/A</v>
      </c>
      <c r="AD66" s="1128" t="e">
        <f t="shared" si="25"/>
        <v>#VALUE!</v>
      </c>
      <c r="AE66" s="1128">
        <f t="shared" si="26"/>
        <v>0</v>
      </c>
      <c r="AF66" s="1096">
        <f>IF(H66&gt;8,tab!$B$51,tab!$B$54)</f>
        <v>0.4</v>
      </c>
      <c r="AG66" s="1097">
        <f t="shared" si="29"/>
        <v>0</v>
      </c>
      <c r="AH66" s="1093">
        <f t="shared" si="30"/>
        <v>0</v>
      </c>
      <c r="AI66" s="1120" t="b">
        <f>DATE(YEAR(tab!$C$3),MONTH(G66),DAY(G66))&gt;tab!$C$3</f>
        <v>0</v>
      </c>
      <c r="AJ66" s="1097">
        <f t="shared" si="31"/>
        <v>120</v>
      </c>
      <c r="AK66" s="1041">
        <f t="shared" si="32"/>
        <v>30</v>
      </c>
      <c r="AL66" s="1041">
        <f t="shared" si="33"/>
        <v>30</v>
      </c>
      <c r="AM66" s="1047">
        <f t="shared" si="34"/>
        <v>0</v>
      </c>
    </row>
    <row r="67" spans="2:50" ht="12.75" customHeight="1" x14ac:dyDescent="0.3">
      <c r="B67" s="422"/>
      <c r="C67" s="122"/>
      <c r="D67" s="388"/>
      <c r="E67" s="388"/>
      <c r="F67" s="684"/>
      <c r="G67" s="710"/>
      <c r="H67" s="684"/>
      <c r="I67" s="389"/>
      <c r="J67" s="711"/>
      <c r="K67" s="472"/>
      <c r="L67" s="1049"/>
      <c r="M67" s="1049"/>
      <c r="N67" s="1051" t="str">
        <f t="shared" si="17"/>
        <v/>
      </c>
      <c r="O67" s="1051" t="str">
        <f t="shared" si="18"/>
        <v/>
      </c>
      <c r="P67" s="1125" t="str">
        <f t="shared" si="19"/>
        <v/>
      </c>
      <c r="Q67" s="472"/>
      <c r="R67" s="923" t="str">
        <f t="shared" si="27"/>
        <v/>
      </c>
      <c r="S67" s="923" t="str">
        <f t="shared" si="20"/>
        <v/>
      </c>
      <c r="T67" s="925" t="str">
        <f t="shared" si="21"/>
        <v/>
      </c>
      <c r="U67" s="545"/>
      <c r="V67" s="712"/>
      <c r="W67" s="957"/>
      <c r="X67" s="1060"/>
      <c r="Y67" s="1095" t="e">
        <f t="shared" si="28"/>
        <v>#N/A</v>
      </c>
      <c r="Z67" s="1094">
        <f>tab!$B$50</f>
        <v>0.6</v>
      </c>
      <c r="AA67" s="1126" t="e">
        <f t="shared" si="22"/>
        <v>#N/A</v>
      </c>
      <c r="AB67" s="1126" t="e">
        <f t="shared" si="23"/>
        <v>#N/A</v>
      </c>
      <c r="AC67" s="1126" t="e">
        <f t="shared" si="24"/>
        <v>#N/A</v>
      </c>
      <c r="AD67" s="1128" t="e">
        <f t="shared" si="25"/>
        <v>#VALUE!</v>
      </c>
      <c r="AE67" s="1128">
        <f t="shared" si="26"/>
        <v>0</v>
      </c>
      <c r="AF67" s="1096">
        <f>IF(H67&gt;8,tab!$B$51,tab!$B$54)</f>
        <v>0.4</v>
      </c>
      <c r="AG67" s="1097">
        <f t="shared" si="29"/>
        <v>0</v>
      </c>
      <c r="AH67" s="1093">
        <f t="shared" si="30"/>
        <v>0</v>
      </c>
      <c r="AI67" s="1120" t="b">
        <f>DATE(YEAR(tab!$C$3),MONTH(G67),DAY(G67))&gt;tab!$C$3</f>
        <v>0</v>
      </c>
      <c r="AJ67" s="1097">
        <f t="shared" si="31"/>
        <v>120</v>
      </c>
      <c r="AK67" s="1041">
        <f t="shared" si="32"/>
        <v>30</v>
      </c>
      <c r="AL67" s="1041">
        <f t="shared" si="33"/>
        <v>30</v>
      </c>
      <c r="AM67" s="1047">
        <f t="shared" si="34"/>
        <v>0</v>
      </c>
    </row>
    <row r="68" spans="2:50" ht="12.75" customHeight="1" x14ac:dyDescent="0.3">
      <c r="B68" s="422"/>
      <c r="C68" s="122"/>
      <c r="D68" s="388"/>
      <c r="E68" s="388"/>
      <c r="F68" s="684"/>
      <c r="G68" s="710"/>
      <c r="H68" s="684"/>
      <c r="I68" s="389"/>
      <c r="J68" s="711"/>
      <c r="K68" s="472"/>
      <c r="L68" s="1049"/>
      <c r="M68" s="1049"/>
      <c r="N68" s="1051" t="str">
        <f t="shared" si="17"/>
        <v/>
      </c>
      <c r="O68" s="1051" t="str">
        <f t="shared" si="18"/>
        <v/>
      </c>
      <c r="P68" s="1125" t="str">
        <f t="shared" si="19"/>
        <v/>
      </c>
      <c r="Q68" s="472"/>
      <c r="R68" s="923" t="str">
        <f t="shared" si="27"/>
        <v/>
      </c>
      <c r="S68" s="923" t="str">
        <f t="shared" si="20"/>
        <v/>
      </c>
      <c r="T68" s="925" t="str">
        <f t="shared" si="21"/>
        <v/>
      </c>
      <c r="U68" s="545"/>
      <c r="V68" s="712"/>
      <c r="W68" s="957"/>
      <c r="X68" s="1060"/>
      <c r="Y68" s="1095" t="e">
        <f t="shared" si="28"/>
        <v>#N/A</v>
      </c>
      <c r="Z68" s="1094">
        <f>tab!$B$50</f>
        <v>0.6</v>
      </c>
      <c r="AA68" s="1126" t="e">
        <f t="shared" si="22"/>
        <v>#N/A</v>
      </c>
      <c r="AB68" s="1126" t="e">
        <f t="shared" si="23"/>
        <v>#N/A</v>
      </c>
      <c r="AC68" s="1126" t="e">
        <f t="shared" si="24"/>
        <v>#N/A</v>
      </c>
      <c r="AD68" s="1128" t="e">
        <f t="shared" si="25"/>
        <v>#VALUE!</v>
      </c>
      <c r="AE68" s="1128">
        <f t="shared" si="26"/>
        <v>0</v>
      </c>
      <c r="AF68" s="1096">
        <f>IF(H68&gt;8,tab!$B$51,tab!$B$54)</f>
        <v>0.4</v>
      </c>
      <c r="AG68" s="1097">
        <f t="shared" si="29"/>
        <v>0</v>
      </c>
      <c r="AH68" s="1093">
        <f t="shared" si="30"/>
        <v>0</v>
      </c>
      <c r="AI68" s="1120" t="b">
        <f>DATE(YEAR(tab!$C$3),MONTH(G68),DAY(G68))&gt;tab!$C$3</f>
        <v>0</v>
      </c>
      <c r="AJ68" s="1097">
        <f t="shared" si="31"/>
        <v>120</v>
      </c>
      <c r="AK68" s="1041">
        <f t="shared" si="32"/>
        <v>30</v>
      </c>
      <c r="AL68" s="1041">
        <f t="shared" si="33"/>
        <v>30</v>
      </c>
      <c r="AM68" s="1047">
        <f t="shared" si="34"/>
        <v>0</v>
      </c>
    </row>
    <row r="69" spans="2:50" ht="12.75" customHeight="1" x14ac:dyDescent="0.3">
      <c r="B69" s="422"/>
      <c r="C69" s="122"/>
      <c r="D69" s="388"/>
      <c r="E69" s="388"/>
      <c r="F69" s="684"/>
      <c r="G69" s="710"/>
      <c r="H69" s="684"/>
      <c r="I69" s="389"/>
      <c r="J69" s="711"/>
      <c r="K69" s="472"/>
      <c r="L69" s="1049"/>
      <c r="M69" s="1049"/>
      <c r="N69" s="1051" t="str">
        <f t="shared" si="17"/>
        <v/>
      </c>
      <c r="O69" s="1051" t="str">
        <f t="shared" si="18"/>
        <v/>
      </c>
      <c r="P69" s="1125" t="str">
        <f t="shared" si="19"/>
        <v/>
      </c>
      <c r="Q69" s="472"/>
      <c r="R69" s="923" t="str">
        <f t="shared" si="27"/>
        <v/>
      </c>
      <c r="S69" s="923" t="str">
        <f t="shared" si="20"/>
        <v/>
      </c>
      <c r="T69" s="925" t="str">
        <f t="shared" si="21"/>
        <v/>
      </c>
      <c r="U69" s="545"/>
      <c r="V69" s="712"/>
      <c r="W69" s="957"/>
      <c r="X69" s="1060"/>
      <c r="Y69" s="1095" t="e">
        <f t="shared" si="28"/>
        <v>#N/A</v>
      </c>
      <c r="Z69" s="1094">
        <f>tab!$B$50</f>
        <v>0.6</v>
      </c>
      <c r="AA69" s="1126" t="e">
        <f t="shared" si="22"/>
        <v>#N/A</v>
      </c>
      <c r="AB69" s="1126" t="e">
        <f t="shared" si="23"/>
        <v>#N/A</v>
      </c>
      <c r="AC69" s="1126" t="e">
        <f t="shared" si="24"/>
        <v>#N/A</v>
      </c>
      <c r="AD69" s="1128" t="e">
        <f t="shared" si="25"/>
        <v>#VALUE!</v>
      </c>
      <c r="AE69" s="1128">
        <f t="shared" si="26"/>
        <v>0</v>
      </c>
      <c r="AF69" s="1096">
        <f>IF(H69&gt;8,tab!$B$51,tab!$B$54)</f>
        <v>0.4</v>
      </c>
      <c r="AG69" s="1097">
        <f t="shared" si="29"/>
        <v>0</v>
      </c>
      <c r="AH69" s="1093">
        <f t="shared" si="30"/>
        <v>0</v>
      </c>
      <c r="AI69" s="1120" t="b">
        <f>DATE(YEAR(tab!$C$3),MONTH(G69),DAY(G69))&gt;tab!$C$3</f>
        <v>0</v>
      </c>
      <c r="AJ69" s="1097">
        <f t="shared" si="31"/>
        <v>120</v>
      </c>
      <c r="AK69" s="1041">
        <f t="shared" si="32"/>
        <v>30</v>
      </c>
      <c r="AL69" s="1041">
        <f t="shared" si="33"/>
        <v>30</v>
      </c>
      <c r="AM69" s="1047">
        <f t="shared" si="34"/>
        <v>0</v>
      </c>
    </row>
    <row r="70" spans="2:50" ht="12.75" customHeight="1" x14ac:dyDescent="0.3">
      <c r="B70" s="422"/>
      <c r="C70" s="122"/>
      <c r="D70" s="388"/>
      <c r="E70" s="388"/>
      <c r="F70" s="684"/>
      <c r="G70" s="710"/>
      <c r="H70" s="684"/>
      <c r="I70" s="389"/>
      <c r="J70" s="711"/>
      <c r="K70" s="472"/>
      <c r="L70" s="1049"/>
      <c r="M70" s="1049"/>
      <c r="N70" s="1051" t="str">
        <f t="shared" si="17"/>
        <v/>
      </c>
      <c r="O70" s="1051" t="str">
        <f t="shared" si="18"/>
        <v/>
      </c>
      <c r="P70" s="1125" t="str">
        <f t="shared" si="19"/>
        <v/>
      </c>
      <c r="Q70" s="472"/>
      <c r="R70" s="923" t="str">
        <f t="shared" si="27"/>
        <v/>
      </c>
      <c r="S70" s="923" t="str">
        <f t="shared" si="20"/>
        <v/>
      </c>
      <c r="T70" s="925" t="str">
        <f t="shared" si="21"/>
        <v/>
      </c>
      <c r="U70" s="545"/>
      <c r="V70" s="712"/>
      <c r="W70" s="957"/>
      <c r="X70" s="1060"/>
      <c r="Y70" s="1095" t="e">
        <f t="shared" si="28"/>
        <v>#N/A</v>
      </c>
      <c r="Z70" s="1094">
        <f>tab!$B$50</f>
        <v>0.6</v>
      </c>
      <c r="AA70" s="1126" t="e">
        <f t="shared" si="22"/>
        <v>#N/A</v>
      </c>
      <c r="AB70" s="1126" t="e">
        <f t="shared" si="23"/>
        <v>#N/A</v>
      </c>
      <c r="AC70" s="1126" t="e">
        <f t="shared" si="24"/>
        <v>#N/A</v>
      </c>
      <c r="AD70" s="1128" t="e">
        <f t="shared" si="25"/>
        <v>#VALUE!</v>
      </c>
      <c r="AE70" s="1128">
        <f t="shared" si="26"/>
        <v>0</v>
      </c>
      <c r="AF70" s="1096">
        <f>IF(H70&gt;8,tab!$B$51,tab!$B$54)</f>
        <v>0.4</v>
      </c>
      <c r="AG70" s="1097">
        <f t="shared" si="29"/>
        <v>0</v>
      </c>
      <c r="AH70" s="1093">
        <f t="shared" si="30"/>
        <v>0</v>
      </c>
      <c r="AI70" s="1120" t="b">
        <f>DATE(YEAR(tab!$C$3),MONTH(G70),DAY(G70))&gt;tab!$C$3</f>
        <v>0</v>
      </c>
      <c r="AJ70" s="1097">
        <f t="shared" si="31"/>
        <v>120</v>
      </c>
      <c r="AK70" s="1041">
        <f t="shared" si="32"/>
        <v>30</v>
      </c>
      <c r="AL70" s="1041">
        <f t="shared" si="33"/>
        <v>30</v>
      </c>
      <c r="AM70" s="1047">
        <f t="shared" si="34"/>
        <v>0</v>
      </c>
    </row>
    <row r="71" spans="2:50" ht="12.75" customHeight="1" x14ac:dyDescent="0.3">
      <c r="B71" s="422"/>
      <c r="C71" s="447"/>
      <c r="D71" s="551"/>
      <c r="E71" s="713"/>
      <c r="F71" s="713"/>
      <c r="G71" s="714"/>
      <c r="H71" s="713"/>
      <c r="I71" s="715"/>
      <c r="J71" s="958">
        <f>SUM(J16:J70)</f>
        <v>1</v>
      </c>
      <c r="L71" s="1050">
        <f t="shared" ref="L71:O71" si="35">SUM(L16:L70)</f>
        <v>0</v>
      </c>
      <c r="M71" s="1050">
        <f t="shared" si="35"/>
        <v>0</v>
      </c>
      <c r="N71" s="1050">
        <f>SUM(N16:N70)</f>
        <v>40</v>
      </c>
      <c r="O71" s="1050">
        <f t="shared" si="35"/>
        <v>0</v>
      </c>
      <c r="P71" s="1050">
        <f>SUM(P16:P70)</f>
        <v>40</v>
      </c>
      <c r="R71" s="959">
        <f t="shared" ref="R71:T71" si="36">SUM(R16:R70)</f>
        <v>68452.701858951186</v>
      </c>
      <c r="S71" s="960">
        <f t="shared" si="36"/>
        <v>1691.2341410488248</v>
      </c>
      <c r="T71" s="959">
        <f t="shared" si="36"/>
        <v>70143.936000000016</v>
      </c>
      <c r="U71" s="450"/>
      <c r="V71" s="425"/>
      <c r="Y71" s="1095" t="e">
        <f t="shared" si="28"/>
        <v>#N/A</v>
      </c>
      <c r="Z71" s="1094">
        <f>tab!$B$50</f>
        <v>0.6</v>
      </c>
      <c r="AA71" s="1098"/>
      <c r="AB71" s="1098"/>
      <c r="AC71" s="1098"/>
      <c r="AG71" s="1099">
        <f>SUM(AG16:AG70)</f>
        <v>0</v>
      </c>
      <c r="AH71" s="1100">
        <f>SUM(AH16:AH70)</f>
        <v>0</v>
      </c>
      <c r="AI71" s="1121"/>
      <c r="AJ71" s="1121"/>
    </row>
    <row r="72" spans="2:50" ht="12.75" customHeight="1" x14ac:dyDescent="0.3">
      <c r="B72" s="422"/>
      <c r="H72" s="536"/>
      <c r="K72" s="440"/>
      <c r="Q72" s="440"/>
      <c r="R72" s="690"/>
      <c r="S72" s="716"/>
      <c r="V72" s="425"/>
      <c r="Y72" s="1079"/>
      <c r="Z72" s="1130"/>
      <c r="AA72" s="1098"/>
      <c r="AB72" s="1098"/>
      <c r="AC72" s="1098"/>
      <c r="AG72" s="1099"/>
      <c r="AH72" s="1100"/>
    </row>
    <row r="73" spans="2:50" ht="12.75" customHeight="1" x14ac:dyDescent="0.3">
      <c r="B73" s="452"/>
      <c r="C73" s="453"/>
      <c r="D73" s="717"/>
      <c r="E73" s="717"/>
      <c r="F73" s="570"/>
      <c r="G73" s="718"/>
      <c r="H73" s="570"/>
      <c r="I73" s="719"/>
      <c r="J73" s="720"/>
      <c r="K73" s="453"/>
      <c r="L73" s="721"/>
      <c r="M73" s="721"/>
      <c r="N73" s="721"/>
      <c r="O73" s="721"/>
      <c r="P73" s="721"/>
      <c r="Q73" s="453"/>
      <c r="R73" s="396"/>
      <c r="S73" s="571"/>
      <c r="T73" s="781"/>
      <c r="U73" s="453"/>
      <c r="V73" s="454"/>
      <c r="Y73" s="1095"/>
      <c r="Z73" s="1103"/>
      <c r="AA73" s="1103"/>
      <c r="AB73" s="1103"/>
      <c r="AC73" s="1103"/>
      <c r="AG73" s="1097"/>
      <c r="AH73" s="1093"/>
      <c r="AI73" s="1120"/>
      <c r="AM73" s="1047"/>
    </row>
    <row r="74" spans="2:50" ht="12.75" customHeight="1" x14ac:dyDescent="0.3">
      <c r="B74" s="418"/>
      <c r="C74" s="419"/>
      <c r="D74" s="697"/>
      <c r="E74" s="697"/>
      <c r="F74" s="538"/>
      <c r="G74" s="698"/>
      <c r="H74" s="538"/>
      <c r="I74" s="699"/>
      <c r="J74" s="722"/>
      <c r="K74" s="419"/>
      <c r="L74" s="700"/>
      <c r="M74" s="700"/>
      <c r="N74" s="700"/>
      <c r="O74" s="700"/>
      <c r="P74" s="700"/>
      <c r="Q74" s="419"/>
      <c r="R74" s="687"/>
      <c r="S74" s="723"/>
      <c r="T74" s="783"/>
      <c r="U74" s="419"/>
      <c r="V74" s="421"/>
      <c r="Y74" s="1095"/>
      <c r="Z74" s="1103"/>
      <c r="AA74" s="1103"/>
      <c r="AB74" s="1103"/>
      <c r="AC74" s="1103"/>
      <c r="AG74" s="1097"/>
      <c r="AH74" s="1093"/>
      <c r="AI74" s="1120"/>
      <c r="AM74" s="1047"/>
    </row>
    <row r="75" spans="2:50" ht="12.75" customHeight="1" x14ac:dyDescent="0.3">
      <c r="B75" s="422"/>
      <c r="C75" s="423"/>
      <c r="D75" s="702"/>
      <c r="E75" s="702"/>
      <c r="F75" s="539"/>
      <c r="G75" s="703"/>
      <c r="H75" s="539"/>
      <c r="I75" s="704"/>
      <c r="J75" s="724"/>
      <c r="K75" s="423"/>
      <c r="L75" s="705"/>
      <c r="M75" s="705"/>
      <c r="N75" s="705"/>
      <c r="O75" s="705"/>
      <c r="P75" s="705"/>
      <c r="Q75" s="423"/>
      <c r="R75" s="688"/>
      <c r="S75" s="569"/>
      <c r="T75" s="784"/>
      <c r="U75" s="423"/>
      <c r="V75" s="425"/>
      <c r="Y75" s="1095"/>
      <c r="Z75" s="1103"/>
      <c r="AA75" s="1103"/>
      <c r="AB75" s="1103"/>
      <c r="AC75" s="1103"/>
      <c r="AG75" s="1097"/>
      <c r="AH75" s="1093"/>
      <c r="AI75" s="1120"/>
      <c r="AM75" s="1047"/>
    </row>
    <row r="76" spans="2:50" ht="12.75" customHeight="1" x14ac:dyDescent="0.3">
      <c r="B76" s="422"/>
      <c r="C76" s="423" t="s">
        <v>180</v>
      </c>
      <c r="D76" s="702"/>
      <c r="E76" s="708" t="str">
        <f>dir!E53</f>
        <v>2021/22</v>
      </c>
      <c r="F76" s="539"/>
      <c r="G76" s="703"/>
      <c r="H76" s="539"/>
      <c r="I76" s="704"/>
      <c r="J76" s="724"/>
      <c r="K76" s="423"/>
      <c r="L76" s="705"/>
      <c r="M76" s="705"/>
      <c r="N76" s="705"/>
      <c r="O76" s="705"/>
      <c r="P76" s="705"/>
      <c r="Q76" s="423"/>
      <c r="R76" s="688"/>
      <c r="S76" s="569"/>
      <c r="T76" s="784"/>
      <c r="U76" s="423"/>
      <c r="V76" s="425"/>
      <c r="Y76" s="1095"/>
      <c r="Z76" s="1103"/>
      <c r="AA76" s="1103"/>
      <c r="AB76" s="1103"/>
      <c r="AC76" s="1103"/>
      <c r="AG76" s="1097"/>
      <c r="AH76" s="1093"/>
      <c r="AI76" s="1120"/>
      <c r="AM76" s="1047"/>
    </row>
    <row r="77" spans="2:50" ht="12.75" customHeight="1" x14ac:dyDescent="0.3">
      <c r="B77" s="422"/>
      <c r="C77" s="423" t="s">
        <v>193</v>
      </c>
      <c r="D77" s="702"/>
      <c r="E77" s="708">
        <f>dir!E54</f>
        <v>44470</v>
      </c>
      <c r="F77" s="539"/>
      <c r="G77" s="703"/>
      <c r="H77" s="539"/>
      <c r="I77" s="704"/>
      <c r="J77" s="724"/>
      <c r="K77" s="423"/>
      <c r="L77" s="705"/>
      <c r="M77" s="705"/>
      <c r="N77" s="705"/>
      <c r="O77" s="705"/>
      <c r="P77" s="705"/>
      <c r="Q77" s="423"/>
      <c r="R77" s="688"/>
      <c r="S77" s="569"/>
      <c r="T77" s="784"/>
      <c r="U77" s="423"/>
      <c r="V77" s="425"/>
      <c r="Y77" s="1095"/>
      <c r="Z77" s="1103"/>
      <c r="AA77" s="1103"/>
      <c r="AB77" s="1103"/>
      <c r="AC77" s="1103"/>
      <c r="AG77" s="1097"/>
      <c r="AH77" s="1093"/>
      <c r="AI77" s="1120"/>
      <c r="AM77" s="1047"/>
    </row>
    <row r="78" spans="2:50" ht="12.75" customHeight="1" x14ac:dyDescent="0.3">
      <c r="B78" s="422"/>
      <c r="C78" s="423"/>
      <c r="D78" s="702"/>
      <c r="E78" s="702"/>
      <c r="F78" s="539"/>
      <c r="G78" s="703"/>
      <c r="H78" s="539"/>
      <c r="I78" s="704"/>
      <c r="J78" s="724"/>
      <c r="K78" s="423"/>
      <c r="L78" s="705"/>
      <c r="M78" s="705"/>
      <c r="N78" s="705"/>
      <c r="O78" s="705"/>
      <c r="P78" s="705"/>
      <c r="Q78" s="423"/>
      <c r="R78" s="688"/>
      <c r="S78" s="569"/>
      <c r="T78" s="784"/>
      <c r="U78" s="423"/>
      <c r="V78" s="425"/>
      <c r="Y78" s="1095"/>
      <c r="Z78" s="1103"/>
      <c r="AA78" s="1103"/>
      <c r="AB78" s="1103"/>
      <c r="AC78" s="1103"/>
      <c r="AG78" s="1097"/>
      <c r="AH78" s="1093"/>
      <c r="AI78" s="1120"/>
      <c r="AM78" s="1047"/>
    </row>
    <row r="79" spans="2:50" ht="12.75" customHeight="1" x14ac:dyDescent="0.3">
      <c r="B79" s="422"/>
      <c r="C79" s="682"/>
      <c r="D79" s="937"/>
      <c r="E79" s="938"/>
      <c r="F79" s="939"/>
      <c r="G79" s="940"/>
      <c r="H79" s="941"/>
      <c r="I79" s="941"/>
      <c r="J79" s="942"/>
      <c r="K79" s="943"/>
      <c r="L79" s="941"/>
      <c r="M79" s="941"/>
      <c r="N79" s="941"/>
      <c r="O79" s="941"/>
      <c r="P79" s="941"/>
      <c r="Q79" s="943"/>
      <c r="R79" s="943"/>
      <c r="S79" s="944"/>
      <c r="T79" s="945"/>
      <c r="U79" s="438"/>
      <c r="V79" s="425"/>
      <c r="AN79" s="1044"/>
      <c r="AO79" s="1044"/>
      <c r="AP79" s="1044"/>
      <c r="AQ79" s="1044"/>
      <c r="AR79" s="953"/>
      <c r="AS79" s="693"/>
      <c r="AT79" s="695"/>
      <c r="AU79" s="707"/>
      <c r="AV79" s="694"/>
    </row>
    <row r="80" spans="2:50" ht="12.75" customHeight="1" x14ac:dyDescent="0.3">
      <c r="B80" s="422"/>
      <c r="C80" s="125"/>
      <c r="D80" s="1033" t="s">
        <v>284</v>
      </c>
      <c r="E80" s="883"/>
      <c r="F80" s="883"/>
      <c r="G80" s="883"/>
      <c r="H80" s="883"/>
      <c r="I80" s="883"/>
      <c r="J80" s="883"/>
      <c r="K80" s="902"/>
      <c r="L80" s="1033" t="s">
        <v>502</v>
      </c>
      <c r="M80" s="1035"/>
      <c r="N80" s="1033"/>
      <c r="O80" s="1033"/>
      <c r="P80" s="1133"/>
      <c r="Q80" s="902"/>
      <c r="R80" s="1033" t="s">
        <v>503</v>
      </c>
      <c r="S80" s="1036"/>
      <c r="T80" s="1134"/>
      <c r="U80" s="1135"/>
      <c r="V80" s="383"/>
      <c r="W80" s="384"/>
      <c r="X80" s="384"/>
      <c r="Y80" s="1063"/>
      <c r="Z80" s="1136"/>
      <c r="AD80" s="1137"/>
      <c r="AE80" s="1137"/>
      <c r="AF80" s="1064"/>
      <c r="AG80" s="1090"/>
      <c r="AH80" s="1091"/>
      <c r="AM80" s="1041"/>
      <c r="AU80" s="410"/>
      <c r="AV80" s="410"/>
      <c r="AW80" s="725"/>
      <c r="AX80" s="725"/>
    </row>
    <row r="81" spans="2:50" ht="12.75" customHeight="1" x14ac:dyDescent="0.3">
      <c r="B81" s="422"/>
      <c r="C81" s="125"/>
      <c r="D81" s="877" t="s">
        <v>494</v>
      </c>
      <c r="E81" s="877" t="s">
        <v>181</v>
      </c>
      <c r="F81" s="904" t="s">
        <v>137</v>
      </c>
      <c r="G81" s="905" t="s">
        <v>273</v>
      </c>
      <c r="H81" s="904" t="s">
        <v>206</v>
      </c>
      <c r="I81" s="904" t="s">
        <v>225</v>
      </c>
      <c r="J81" s="906" t="s">
        <v>140</v>
      </c>
      <c r="K81" s="881"/>
      <c r="L81" s="907" t="s">
        <v>479</v>
      </c>
      <c r="M81" s="907" t="s">
        <v>480</v>
      </c>
      <c r="N81" s="907" t="s">
        <v>478</v>
      </c>
      <c r="O81" s="907" t="s">
        <v>479</v>
      </c>
      <c r="P81" s="1138" t="s">
        <v>504</v>
      </c>
      <c r="Q81" s="881"/>
      <c r="R81" s="1037" t="s">
        <v>192</v>
      </c>
      <c r="S81" s="909" t="s">
        <v>505</v>
      </c>
      <c r="T81" s="910" t="s">
        <v>192</v>
      </c>
      <c r="U81" s="1139"/>
      <c r="V81" s="385"/>
      <c r="W81" s="386"/>
      <c r="X81" s="386"/>
      <c r="Y81" s="915" t="s">
        <v>303</v>
      </c>
      <c r="Z81" s="1127" t="s">
        <v>497</v>
      </c>
      <c r="AA81" s="1101" t="s">
        <v>498</v>
      </c>
      <c r="AB81" s="1101" t="s">
        <v>498</v>
      </c>
      <c r="AC81" s="1101" t="s">
        <v>495</v>
      </c>
      <c r="AD81" s="1048" t="s">
        <v>488</v>
      </c>
      <c r="AE81" s="1048" t="s">
        <v>489</v>
      </c>
      <c r="AF81" s="1101"/>
      <c r="AG81" s="1092" t="s">
        <v>297</v>
      </c>
      <c r="AH81" s="1091" t="s">
        <v>427</v>
      </c>
      <c r="AI81" s="916" t="s">
        <v>278</v>
      </c>
      <c r="AJ81" s="916" t="s">
        <v>279</v>
      </c>
      <c r="AK81" s="1059" t="s">
        <v>139</v>
      </c>
      <c r="AL81" s="1059" t="s">
        <v>204</v>
      </c>
      <c r="AM81" s="1058" t="s">
        <v>188</v>
      </c>
      <c r="AU81" s="410"/>
      <c r="AV81" s="410"/>
      <c r="AW81" s="725"/>
      <c r="AX81" s="726"/>
    </row>
    <row r="82" spans="2:50" ht="12.75" customHeight="1" x14ac:dyDescent="0.3">
      <c r="B82" s="422"/>
      <c r="C82" s="125"/>
      <c r="D82" s="883"/>
      <c r="E82" s="877"/>
      <c r="F82" s="904" t="s">
        <v>138</v>
      </c>
      <c r="G82" s="905" t="s">
        <v>274</v>
      </c>
      <c r="H82" s="904"/>
      <c r="I82" s="904"/>
      <c r="J82" s="906" t="s">
        <v>277</v>
      </c>
      <c r="K82" s="881"/>
      <c r="L82" s="907" t="s">
        <v>482</v>
      </c>
      <c r="M82" s="907" t="s">
        <v>483</v>
      </c>
      <c r="N82" s="907" t="s">
        <v>481</v>
      </c>
      <c r="O82" s="907" t="s">
        <v>493</v>
      </c>
      <c r="P82" s="1138" t="s">
        <v>269</v>
      </c>
      <c r="Q82" s="881"/>
      <c r="R82" s="908" t="s">
        <v>506</v>
      </c>
      <c r="S82" s="909" t="s">
        <v>484</v>
      </c>
      <c r="T82" s="910" t="s">
        <v>269</v>
      </c>
      <c r="U82" s="887"/>
      <c r="V82" s="135"/>
      <c r="W82" s="129"/>
      <c r="X82" s="129"/>
      <c r="Y82" s="915" t="s">
        <v>197</v>
      </c>
      <c r="Z82" s="918">
        <f>tab!$B$50</f>
        <v>0.6</v>
      </c>
      <c r="AA82" s="1101" t="s">
        <v>499</v>
      </c>
      <c r="AB82" s="1101" t="s">
        <v>500</v>
      </c>
      <c r="AC82" s="1101" t="s">
        <v>501</v>
      </c>
      <c r="AD82" s="1048" t="s">
        <v>491</v>
      </c>
      <c r="AE82" s="1048" t="s">
        <v>491</v>
      </c>
      <c r="AG82" s="1092"/>
      <c r="AH82" s="1093" t="s">
        <v>224</v>
      </c>
      <c r="AI82" s="1048" t="s">
        <v>275</v>
      </c>
      <c r="AJ82" s="1048" t="s">
        <v>275</v>
      </c>
      <c r="AK82" s="1059"/>
      <c r="AL82" s="1059" t="s">
        <v>188</v>
      </c>
      <c r="AM82" s="1058"/>
      <c r="AU82" s="410"/>
      <c r="AV82" s="410"/>
      <c r="AX82" s="709"/>
    </row>
    <row r="83" spans="2:50" ht="12.75" customHeight="1" x14ac:dyDescent="0.3">
      <c r="B83" s="422"/>
      <c r="C83" s="122"/>
      <c r="D83" s="883"/>
      <c r="E83" s="883"/>
      <c r="F83" s="946"/>
      <c r="G83" s="947"/>
      <c r="H83" s="904"/>
      <c r="I83" s="904"/>
      <c r="J83" s="906"/>
      <c r="K83" s="883"/>
      <c r="L83" s="907"/>
      <c r="M83" s="907"/>
      <c r="N83" s="907"/>
      <c r="O83" s="907"/>
      <c r="P83" s="907"/>
      <c r="Q83" s="883"/>
      <c r="R83" s="948"/>
      <c r="S83" s="909"/>
      <c r="T83" s="949"/>
      <c r="U83" s="443"/>
      <c r="V83" s="425"/>
      <c r="Y83" s="915"/>
      <c r="Z83" s="1064"/>
      <c r="AA83" s="1064"/>
      <c r="AB83" s="1064"/>
      <c r="AC83" s="1064"/>
      <c r="AG83" s="1092"/>
      <c r="AH83" s="1093"/>
      <c r="AM83" s="1058"/>
      <c r="AU83" s="410"/>
      <c r="AV83" s="410"/>
      <c r="AX83" s="709"/>
    </row>
    <row r="84" spans="2:50" ht="12.75" customHeight="1" x14ac:dyDescent="0.3">
      <c r="B84" s="422"/>
      <c r="C84" s="122"/>
      <c r="D84" s="388" t="str">
        <f>IF(op!D16="","",op!D16)</f>
        <v/>
      </c>
      <c r="E84" s="388" t="str">
        <f>IF(op!E16="","",op!E16)</f>
        <v>nn</v>
      </c>
      <c r="F84" s="684" t="str">
        <f>IF(op!F16="","",op!F16+1)</f>
        <v/>
      </c>
      <c r="G84" s="710">
        <f>IF(op!G16="","",op!G16)</f>
        <v>28491</v>
      </c>
      <c r="H84" s="684" t="str">
        <f>IF(op!H16=0,"",op!H16)</f>
        <v>L11</v>
      </c>
      <c r="I84" s="389">
        <f>IF(J84="","",IF(op!I16&gt;LOOKUP(H84,schaal2019,regels2019),op!I16-1,IF(op!I16=LOOKUP(H84,schaal2019,regels2019),op!I16,I16+1)))</f>
        <v>11</v>
      </c>
      <c r="J84" s="711">
        <f>IF(op!J16="","",op!J16)</f>
        <v>1</v>
      </c>
      <c r="K84" s="472"/>
      <c r="L84" s="1049">
        <f>IF(op!L16="",0,op!L16)</f>
        <v>0</v>
      </c>
      <c r="M84" s="1049">
        <f>IF(op!M16="",0,op!M16)</f>
        <v>0</v>
      </c>
      <c r="N84" s="1051">
        <f t="shared" ref="N84:N138" si="37">IF(J84="","",IF((J84*40)&gt;40,40,((J84*40))))</f>
        <v>40</v>
      </c>
      <c r="O84" s="1051">
        <f t="shared" ref="O84:O138" si="38">IF(J84="","",IF(I84&lt;4,(40*J84),0))</f>
        <v>0</v>
      </c>
      <c r="P84" s="1125">
        <f t="shared" ref="P84:P138" si="39">IF(J84="","",(SUM(L84:O84)))</f>
        <v>40</v>
      </c>
      <c r="Q84" s="472"/>
      <c r="R84" s="923">
        <f>IF(J84="","",(((1659*J84)-P84)*AB84))</f>
        <v>72999.626763110296</v>
      </c>
      <c r="S84" s="923">
        <f t="shared" ref="S84:S138" si="40">IF(J84="","",(P84*AC84)+(AA84*AD84)+((AE84*AA84*(1-AF84))))</f>
        <v>1803.5732368896925</v>
      </c>
      <c r="T84" s="925">
        <f t="shared" ref="T84:T138" si="41">IF(J84="","",(R84+S84))</f>
        <v>74803.199999999983</v>
      </c>
      <c r="U84" s="545"/>
      <c r="V84" s="712"/>
      <c r="W84" s="957"/>
      <c r="X84" s="1060"/>
      <c r="Y84" s="1095">
        <f t="shared" ref="Y84:Y115" si="42">ROUND(5/12*VLOOKUP(H84,salaris2020,I84+1,FALSE)+7/12*VLOOKUP(H84,salaris2021,I84+1,FALSE),0)</f>
        <v>3896</v>
      </c>
      <c r="Z84" s="1094">
        <f>tab!$B$50</f>
        <v>0.6</v>
      </c>
      <c r="AA84" s="1126">
        <f t="shared" ref="AA84:AA138" si="43">(Y84*12/1659)</f>
        <v>28.180831826401448</v>
      </c>
      <c r="AB84" s="1126">
        <f t="shared" ref="AB84:AB138" si="44">(Y84*12*(1+Z84))/1659</f>
        <v>45.089330922242311</v>
      </c>
      <c r="AC84" s="1126">
        <f t="shared" ref="AC84:AC138" si="45">AB84-AA84</f>
        <v>16.908499095840863</v>
      </c>
      <c r="AD84" s="1128">
        <f t="shared" ref="AD84:AD138" si="46">(N84+O84)</f>
        <v>40</v>
      </c>
      <c r="AE84" s="1128">
        <f t="shared" ref="AE84:AE138" si="47">(L84+M84)</f>
        <v>0</v>
      </c>
      <c r="AF84" s="1096">
        <f>IF(H84&gt;8,tab!$B$51,tab!$B$54)</f>
        <v>0.5</v>
      </c>
      <c r="AG84" s="1097">
        <f t="shared" ref="AG84:AG115" si="48">IF(F84&lt;25,0,IF(F84=25,25,IF(F84&lt;40,0,IF(F84=40,40,IF(F84&gt;=40,0)))))</f>
        <v>0</v>
      </c>
      <c r="AH84" s="1093">
        <f t="shared" ref="AH84:AH115" si="49">IF(AG84=25,(Y84*1.08*(J84)/2),IF(AG84=40,(Y84*1.08*(J84)),IF(AG84=0,0)))</f>
        <v>0</v>
      </c>
      <c r="AI84" s="1120" t="b">
        <f>DATE(YEAR(tab!$D$3),MONTH(G84),DAY(G84))&gt;tab!$D$3</f>
        <v>0</v>
      </c>
      <c r="AJ84" s="1097">
        <f t="shared" ref="AJ84:AJ115" si="50">YEAR($E$77)-YEAR(G84)-AI84</f>
        <v>43</v>
      </c>
      <c r="AK84" s="1041">
        <f t="shared" ref="AK84:AK115" si="51">IF((G84=""),30,AJ84)</f>
        <v>43</v>
      </c>
      <c r="AL84" s="1041">
        <f t="shared" ref="AL84:AL115" si="52">IF((AK84)&gt;50,50,(AK84))</f>
        <v>43</v>
      </c>
      <c r="AM84" s="1047">
        <f t="shared" ref="AM84:AM115" si="53">(AL84*(SUM(J84:J84)))</f>
        <v>43</v>
      </c>
      <c r="AS84" s="727"/>
    </row>
    <row r="85" spans="2:50" ht="12.75" customHeight="1" x14ac:dyDescent="0.3">
      <c r="B85" s="422"/>
      <c r="C85" s="122"/>
      <c r="D85" s="388" t="str">
        <f>IF(op!D17="","",op!D17)</f>
        <v/>
      </c>
      <c r="E85" s="388" t="str">
        <f>IF(op!E17="","",op!E17)</f>
        <v/>
      </c>
      <c r="F85" s="684" t="str">
        <f>IF(op!F17="","",op!F17+1)</f>
        <v/>
      </c>
      <c r="G85" s="710" t="str">
        <f>IF(op!G17="","",op!G17)</f>
        <v/>
      </c>
      <c r="H85" s="684" t="str">
        <f>IF(op!H17=0,"",op!H17)</f>
        <v/>
      </c>
      <c r="I85" s="389" t="str">
        <f>IF(J85="","",IF(op!I17&gt;LOOKUP(H85,schaal2019,regels2019),op!I17-1,IF(op!I17=LOOKUP(H85,schaal2019,regels2019),op!I17,I17+1)))</f>
        <v/>
      </c>
      <c r="J85" s="711" t="str">
        <f>IF(op!J17="","",op!J17)</f>
        <v/>
      </c>
      <c r="K85" s="472"/>
      <c r="L85" s="1049">
        <f>IF(op!L17="",0,op!L17)</f>
        <v>0</v>
      </c>
      <c r="M85" s="1049">
        <f>IF(op!M17="",0,op!M17)</f>
        <v>0</v>
      </c>
      <c r="N85" s="1051" t="str">
        <f t="shared" si="37"/>
        <v/>
      </c>
      <c r="O85" s="1051" t="str">
        <f t="shared" si="38"/>
        <v/>
      </c>
      <c r="P85" s="1125" t="str">
        <f t="shared" si="39"/>
        <v/>
      </c>
      <c r="Q85" s="472"/>
      <c r="R85" s="923" t="str">
        <f>IF(J85="","",(((1659*J85)-P85)*AB85))</f>
        <v/>
      </c>
      <c r="S85" s="923" t="str">
        <f t="shared" si="40"/>
        <v/>
      </c>
      <c r="T85" s="925" t="str">
        <f t="shared" si="41"/>
        <v/>
      </c>
      <c r="U85" s="545"/>
      <c r="V85" s="712"/>
      <c r="W85" s="957"/>
      <c r="X85" s="1060"/>
      <c r="Y85" s="1095" t="e">
        <f t="shared" si="42"/>
        <v>#VALUE!</v>
      </c>
      <c r="Z85" s="1094">
        <f>tab!$B$50</f>
        <v>0.6</v>
      </c>
      <c r="AA85" s="1126" t="e">
        <f t="shared" si="43"/>
        <v>#VALUE!</v>
      </c>
      <c r="AB85" s="1126" t="e">
        <f t="shared" si="44"/>
        <v>#VALUE!</v>
      </c>
      <c r="AC85" s="1126" t="e">
        <f t="shared" si="45"/>
        <v>#VALUE!</v>
      </c>
      <c r="AD85" s="1128" t="e">
        <f t="shared" si="46"/>
        <v>#VALUE!</v>
      </c>
      <c r="AE85" s="1128">
        <f t="shared" si="47"/>
        <v>0</v>
      </c>
      <c r="AF85" s="1096">
        <f>IF(H85&gt;8,tab!$B$51,tab!$B$54)</f>
        <v>0.5</v>
      </c>
      <c r="AG85" s="1097">
        <f t="shared" si="48"/>
        <v>0</v>
      </c>
      <c r="AH85" s="1093">
        <f t="shared" si="49"/>
        <v>0</v>
      </c>
      <c r="AI85" s="1120" t="e">
        <f>DATE(YEAR(tab!$D$3),MONTH(G85),DAY(G85))&gt;tab!$D$3</f>
        <v>#VALUE!</v>
      </c>
      <c r="AJ85" s="1097" t="e">
        <f t="shared" si="50"/>
        <v>#VALUE!</v>
      </c>
      <c r="AK85" s="1041">
        <f t="shared" si="51"/>
        <v>30</v>
      </c>
      <c r="AL85" s="1041">
        <f t="shared" si="52"/>
        <v>30</v>
      </c>
      <c r="AM85" s="1047">
        <f t="shared" si="53"/>
        <v>0</v>
      </c>
      <c r="AS85" s="727"/>
    </row>
    <row r="86" spans="2:50" ht="12.75" customHeight="1" x14ac:dyDescent="0.3">
      <c r="B86" s="422"/>
      <c r="C86" s="122"/>
      <c r="D86" s="388" t="str">
        <f>IF(op!D18="","",op!D18)</f>
        <v/>
      </c>
      <c r="E86" s="388" t="str">
        <f>IF(op!E18="","",op!E18)</f>
        <v/>
      </c>
      <c r="F86" s="684" t="str">
        <f>IF(op!F18="","",op!F18+1)</f>
        <v/>
      </c>
      <c r="G86" s="710" t="str">
        <f>IF(op!G18="","",op!G18)</f>
        <v/>
      </c>
      <c r="H86" s="684" t="str">
        <f>IF(op!H18=0,"",op!H18)</f>
        <v/>
      </c>
      <c r="I86" s="389" t="str">
        <f>IF(J86="","",IF(op!I18&gt;LOOKUP(H86,schaal2019,regels2019),op!I18-1,IF(op!I18=LOOKUP(H86,schaal2019,regels2019),op!I18,I18+1)))</f>
        <v/>
      </c>
      <c r="J86" s="711" t="str">
        <f>IF(op!J18="","",op!J18)</f>
        <v/>
      </c>
      <c r="K86" s="472"/>
      <c r="L86" s="1049">
        <f>IF(op!L18="",0,op!L18)</f>
        <v>0</v>
      </c>
      <c r="M86" s="1049">
        <f>IF(op!M18="",0,op!M18)</f>
        <v>0</v>
      </c>
      <c r="N86" s="1051" t="str">
        <f t="shared" si="37"/>
        <v/>
      </c>
      <c r="O86" s="1051" t="str">
        <f t="shared" si="38"/>
        <v/>
      </c>
      <c r="P86" s="1125" t="str">
        <f t="shared" si="39"/>
        <v/>
      </c>
      <c r="Q86" s="472"/>
      <c r="R86" s="923" t="str">
        <f t="shared" ref="R86:R138" si="54">IF(J86="","",(((1659*J86)-P86)*AB86))</f>
        <v/>
      </c>
      <c r="S86" s="923" t="str">
        <f t="shared" si="40"/>
        <v/>
      </c>
      <c r="T86" s="925" t="str">
        <f t="shared" si="41"/>
        <v/>
      </c>
      <c r="U86" s="545"/>
      <c r="V86" s="712"/>
      <c r="W86" s="957"/>
      <c r="X86" s="1060"/>
      <c r="Y86" s="1095" t="e">
        <f t="shared" si="42"/>
        <v>#VALUE!</v>
      </c>
      <c r="Z86" s="1094">
        <f>tab!$B$50</f>
        <v>0.6</v>
      </c>
      <c r="AA86" s="1126" t="e">
        <f t="shared" si="43"/>
        <v>#VALUE!</v>
      </c>
      <c r="AB86" s="1126" t="e">
        <f t="shared" si="44"/>
        <v>#VALUE!</v>
      </c>
      <c r="AC86" s="1126" t="e">
        <f t="shared" si="45"/>
        <v>#VALUE!</v>
      </c>
      <c r="AD86" s="1128" t="e">
        <f t="shared" si="46"/>
        <v>#VALUE!</v>
      </c>
      <c r="AE86" s="1128">
        <f t="shared" si="47"/>
        <v>0</v>
      </c>
      <c r="AF86" s="1096">
        <f>IF(H86&gt;8,tab!$B$51,tab!$B$54)</f>
        <v>0.5</v>
      </c>
      <c r="AG86" s="1097">
        <f t="shared" si="48"/>
        <v>0</v>
      </c>
      <c r="AH86" s="1093">
        <f t="shared" si="49"/>
        <v>0</v>
      </c>
      <c r="AI86" s="1120" t="e">
        <f>DATE(YEAR(tab!$D$3),MONTH(G86),DAY(G86))&gt;tab!$D$3</f>
        <v>#VALUE!</v>
      </c>
      <c r="AJ86" s="1097" t="e">
        <f t="shared" si="50"/>
        <v>#VALUE!</v>
      </c>
      <c r="AK86" s="1041">
        <f t="shared" si="51"/>
        <v>30</v>
      </c>
      <c r="AL86" s="1041">
        <f t="shared" si="52"/>
        <v>30</v>
      </c>
      <c r="AM86" s="1047">
        <f t="shared" si="53"/>
        <v>0</v>
      </c>
      <c r="AS86" s="727"/>
    </row>
    <row r="87" spans="2:50" ht="12.75" customHeight="1" x14ac:dyDescent="0.3">
      <c r="B87" s="422"/>
      <c r="C87" s="122"/>
      <c r="D87" s="388" t="str">
        <f>IF(op!D19="","",op!D19)</f>
        <v/>
      </c>
      <c r="E87" s="388" t="str">
        <f>IF(op!E19="","",op!E19)</f>
        <v/>
      </c>
      <c r="F87" s="684" t="str">
        <f>IF(op!F19="","",op!F19+1)</f>
        <v/>
      </c>
      <c r="G87" s="710" t="str">
        <f>IF(op!G19="","",op!G19)</f>
        <v/>
      </c>
      <c r="H87" s="684" t="str">
        <f>IF(op!H19=0,"",op!H19)</f>
        <v/>
      </c>
      <c r="I87" s="389" t="str">
        <f>IF(J87="","",IF(op!I19&gt;LOOKUP(H87,schaal2019,regels2019),op!I19-1,IF(op!I19=LOOKUP(H87,schaal2019,regels2019),op!I19,I19+1)))</f>
        <v/>
      </c>
      <c r="J87" s="711" t="str">
        <f>IF(op!J19="","",op!J19)</f>
        <v/>
      </c>
      <c r="K87" s="472"/>
      <c r="L87" s="1049">
        <f>IF(op!L19="",0,op!L19)</f>
        <v>0</v>
      </c>
      <c r="M87" s="1049">
        <f>IF(op!M19="",0,op!M19)</f>
        <v>0</v>
      </c>
      <c r="N87" s="1051" t="str">
        <f t="shared" si="37"/>
        <v/>
      </c>
      <c r="O87" s="1051" t="str">
        <f t="shared" si="38"/>
        <v/>
      </c>
      <c r="P87" s="1125" t="str">
        <f t="shared" si="39"/>
        <v/>
      </c>
      <c r="Q87" s="472"/>
      <c r="R87" s="923" t="str">
        <f t="shared" si="54"/>
        <v/>
      </c>
      <c r="S87" s="923" t="str">
        <f t="shared" si="40"/>
        <v/>
      </c>
      <c r="T87" s="925" t="str">
        <f t="shared" si="41"/>
        <v/>
      </c>
      <c r="U87" s="545"/>
      <c r="V87" s="712"/>
      <c r="W87" s="957"/>
      <c r="X87" s="1060"/>
      <c r="Y87" s="1095" t="e">
        <f t="shared" si="42"/>
        <v>#VALUE!</v>
      </c>
      <c r="Z87" s="1094">
        <f>tab!$B$50</f>
        <v>0.6</v>
      </c>
      <c r="AA87" s="1126" t="e">
        <f t="shared" si="43"/>
        <v>#VALUE!</v>
      </c>
      <c r="AB87" s="1126" t="e">
        <f t="shared" si="44"/>
        <v>#VALUE!</v>
      </c>
      <c r="AC87" s="1126" t="e">
        <f t="shared" si="45"/>
        <v>#VALUE!</v>
      </c>
      <c r="AD87" s="1128" t="e">
        <f t="shared" si="46"/>
        <v>#VALUE!</v>
      </c>
      <c r="AE87" s="1128">
        <f t="shared" si="47"/>
        <v>0</v>
      </c>
      <c r="AF87" s="1096">
        <f>IF(H87&gt;8,tab!$B$51,tab!$B$54)</f>
        <v>0.5</v>
      </c>
      <c r="AG87" s="1097">
        <f t="shared" si="48"/>
        <v>0</v>
      </c>
      <c r="AH87" s="1093">
        <f t="shared" si="49"/>
        <v>0</v>
      </c>
      <c r="AI87" s="1120" t="e">
        <f>DATE(YEAR(tab!$D$3),MONTH(G87),DAY(G87))&gt;tab!$D$3</f>
        <v>#VALUE!</v>
      </c>
      <c r="AJ87" s="1097" t="e">
        <f t="shared" si="50"/>
        <v>#VALUE!</v>
      </c>
      <c r="AK87" s="1041">
        <f t="shared" si="51"/>
        <v>30</v>
      </c>
      <c r="AL87" s="1041">
        <f t="shared" si="52"/>
        <v>30</v>
      </c>
      <c r="AM87" s="1047">
        <f t="shared" si="53"/>
        <v>0</v>
      </c>
      <c r="AS87" s="727"/>
    </row>
    <row r="88" spans="2:50" ht="12.75" customHeight="1" x14ac:dyDescent="0.3">
      <c r="B88" s="422"/>
      <c r="C88" s="122"/>
      <c r="D88" s="388" t="str">
        <f>IF(op!D20="","",op!D20)</f>
        <v/>
      </c>
      <c r="E88" s="388" t="str">
        <f>IF(op!E20="","",op!E20)</f>
        <v/>
      </c>
      <c r="F88" s="684" t="str">
        <f>IF(op!F20="","",op!F20+1)</f>
        <v/>
      </c>
      <c r="G88" s="710" t="str">
        <f>IF(op!G20="","",op!G20)</f>
        <v/>
      </c>
      <c r="H88" s="684" t="str">
        <f>IF(op!H20=0,"",op!H20)</f>
        <v/>
      </c>
      <c r="I88" s="389" t="str">
        <f>IF(J88="","",IF(op!I20&gt;LOOKUP(H88,schaal2019,regels2019),op!I20-1,IF(op!I20=LOOKUP(H88,schaal2019,regels2019),op!I20,I20+1)))</f>
        <v/>
      </c>
      <c r="J88" s="711" t="str">
        <f>IF(op!J20="","",op!J20)</f>
        <v/>
      </c>
      <c r="K88" s="472"/>
      <c r="L88" s="1049">
        <f>IF(op!L20="",0,op!L20)</f>
        <v>0</v>
      </c>
      <c r="M88" s="1049">
        <f>IF(op!M20="",0,op!M20)</f>
        <v>0</v>
      </c>
      <c r="N88" s="1051" t="str">
        <f t="shared" si="37"/>
        <v/>
      </c>
      <c r="O88" s="1051" t="str">
        <f t="shared" si="38"/>
        <v/>
      </c>
      <c r="P88" s="1125" t="str">
        <f t="shared" si="39"/>
        <v/>
      </c>
      <c r="Q88" s="472"/>
      <c r="R88" s="923" t="str">
        <f t="shared" si="54"/>
        <v/>
      </c>
      <c r="S88" s="923" t="str">
        <f t="shared" si="40"/>
        <v/>
      </c>
      <c r="T88" s="925" t="str">
        <f t="shared" si="41"/>
        <v/>
      </c>
      <c r="U88" s="545"/>
      <c r="V88" s="712"/>
      <c r="W88" s="957"/>
      <c r="X88" s="1060"/>
      <c r="Y88" s="1095" t="e">
        <f t="shared" si="42"/>
        <v>#VALUE!</v>
      </c>
      <c r="Z88" s="1094">
        <f>tab!$B$50</f>
        <v>0.6</v>
      </c>
      <c r="AA88" s="1126" t="e">
        <f t="shared" si="43"/>
        <v>#VALUE!</v>
      </c>
      <c r="AB88" s="1126" t="e">
        <f t="shared" si="44"/>
        <v>#VALUE!</v>
      </c>
      <c r="AC88" s="1126" t="e">
        <f t="shared" si="45"/>
        <v>#VALUE!</v>
      </c>
      <c r="AD88" s="1128" t="e">
        <f t="shared" si="46"/>
        <v>#VALUE!</v>
      </c>
      <c r="AE88" s="1128">
        <f t="shared" si="47"/>
        <v>0</v>
      </c>
      <c r="AF88" s="1096">
        <f>IF(H88&gt;8,tab!$B$51,tab!$B$54)</f>
        <v>0.5</v>
      </c>
      <c r="AG88" s="1097">
        <f t="shared" si="48"/>
        <v>0</v>
      </c>
      <c r="AH88" s="1093">
        <f t="shared" si="49"/>
        <v>0</v>
      </c>
      <c r="AI88" s="1120" t="e">
        <f>DATE(YEAR(tab!$D$3),MONTH(G88),DAY(G88))&gt;tab!$D$3</f>
        <v>#VALUE!</v>
      </c>
      <c r="AJ88" s="1097" t="e">
        <f t="shared" si="50"/>
        <v>#VALUE!</v>
      </c>
      <c r="AK88" s="1041">
        <f t="shared" si="51"/>
        <v>30</v>
      </c>
      <c r="AL88" s="1041">
        <f t="shared" si="52"/>
        <v>30</v>
      </c>
      <c r="AM88" s="1047">
        <f t="shared" si="53"/>
        <v>0</v>
      </c>
      <c r="AS88" s="727"/>
    </row>
    <row r="89" spans="2:50" ht="12.75" customHeight="1" x14ac:dyDescent="0.3">
      <c r="B89" s="422"/>
      <c r="C89" s="122"/>
      <c r="D89" s="388" t="str">
        <f>IF(op!D21="","",op!D21)</f>
        <v/>
      </c>
      <c r="E89" s="388" t="str">
        <f>IF(op!E21="","",op!E21)</f>
        <v/>
      </c>
      <c r="F89" s="684" t="str">
        <f>IF(op!F21="","",op!F21+1)</f>
        <v/>
      </c>
      <c r="G89" s="710" t="str">
        <f>IF(op!G21="","",op!G21)</f>
        <v/>
      </c>
      <c r="H89" s="684" t="str">
        <f>IF(op!H21=0,"",op!H21)</f>
        <v/>
      </c>
      <c r="I89" s="389" t="str">
        <f>IF(J89="","",IF(op!I21&gt;LOOKUP(H89,schaal2019,regels2019),op!I21-1,IF(op!I21=LOOKUP(H89,schaal2019,regels2019),op!I21,I21+1)))</f>
        <v/>
      </c>
      <c r="J89" s="711" t="str">
        <f>IF(op!J21="","",op!J21)</f>
        <v/>
      </c>
      <c r="K89" s="472"/>
      <c r="L89" s="1049">
        <f>IF(op!L21="",0,op!L21)</f>
        <v>0</v>
      </c>
      <c r="M89" s="1049">
        <f>IF(op!M21="",0,op!M21)</f>
        <v>0</v>
      </c>
      <c r="N89" s="1051" t="str">
        <f t="shared" si="37"/>
        <v/>
      </c>
      <c r="O89" s="1051" t="str">
        <f t="shared" si="38"/>
        <v/>
      </c>
      <c r="P89" s="1125" t="str">
        <f t="shared" si="39"/>
        <v/>
      </c>
      <c r="Q89" s="472"/>
      <c r="R89" s="923" t="str">
        <f t="shared" si="54"/>
        <v/>
      </c>
      <c r="S89" s="923" t="str">
        <f t="shared" si="40"/>
        <v/>
      </c>
      <c r="T89" s="925" t="str">
        <f t="shared" si="41"/>
        <v/>
      </c>
      <c r="U89" s="545"/>
      <c r="V89" s="712"/>
      <c r="W89" s="957"/>
      <c r="X89" s="1060"/>
      <c r="Y89" s="1095" t="e">
        <f t="shared" si="42"/>
        <v>#VALUE!</v>
      </c>
      <c r="Z89" s="1094">
        <f>tab!$B$50</f>
        <v>0.6</v>
      </c>
      <c r="AA89" s="1126" t="e">
        <f t="shared" si="43"/>
        <v>#VALUE!</v>
      </c>
      <c r="AB89" s="1126" t="e">
        <f t="shared" si="44"/>
        <v>#VALUE!</v>
      </c>
      <c r="AC89" s="1126" t="e">
        <f t="shared" si="45"/>
        <v>#VALUE!</v>
      </c>
      <c r="AD89" s="1128" t="e">
        <f t="shared" si="46"/>
        <v>#VALUE!</v>
      </c>
      <c r="AE89" s="1128">
        <f t="shared" si="47"/>
        <v>0</v>
      </c>
      <c r="AF89" s="1096">
        <f>IF(H89&gt;8,tab!$B$51,tab!$B$54)</f>
        <v>0.5</v>
      </c>
      <c r="AG89" s="1097">
        <f t="shared" si="48"/>
        <v>0</v>
      </c>
      <c r="AH89" s="1093">
        <f t="shared" si="49"/>
        <v>0</v>
      </c>
      <c r="AI89" s="1120" t="e">
        <f>DATE(YEAR(tab!$D$3),MONTH(G89),DAY(G89))&gt;tab!$D$3</f>
        <v>#VALUE!</v>
      </c>
      <c r="AJ89" s="1097" t="e">
        <f t="shared" si="50"/>
        <v>#VALUE!</v>
      </c>
      <c r="AK89" s="1041">
        <f t="shared" si="51"/>
        <v>30</v>
      </c>
      <c r="AL89" s="1041">
        <f t="shared" si="52"/>
        <v>30</v>
      </c>
      <c r="AM89" s="1047">
        <f t="shared" si="53"/>
        <v>0</v>
      </c>
      <c r="AS89" s="727"/>
    </row>
    <row r="90" spans="2:50" ht="12.75" customHeight="1" x14ac:dyDescent="0.3">
      <c r="B90" s="422"/>
      <c r="C90" s="122"/>
      <c r="D90" s="388" t="str">
        <f>IF(op!D22="","",op!D22)</f>
        <v/>
      </c>
      <c r="E90" s="388" t="str">
        <f>IF(op!E22="","",op!E22)</f>
        <v/>
      </c>
      <c r="F90" s="684" t="str">
        <f>IF(op!F22="","",op!F22+1)</f>
        <v/>
      </c>
      <c r="G90" s="710" t="str">
        <f>IF(op!G22="","",op!G22)</f>
        <v/>
      </c>
      <c r="H90" s="684" t="str">
        <f>IF(op!H22=0,"",op!H22)</f>
        <v/>
      </c>
      <c r="I90" s="389" t="str">
        <f>IF(J90="","",IF(op!I22&gt;LOOKUP(H90,schaal2019,regels2019),op!I22-1,IF(op!I22=LOOKUP(H90,schaal2019,regels2019),op!I22,I22+1)))</f>
        <v/>
      </c>
      <c r="J90" s="711" t="str">
        <f>IF(op!J22="","",op!J22)</f>
        <v/>
      </c>
      <c r="K90" s="472"/>
      <c r="L90" s="1049">
        <f>IF(op!L22="",0,op!L22)</f>
        <v>0</v>
      </c>
      <c r="M90" s="1049">
        <f>IF(op!M22="",0,op!M22)</f>
        <v>0</v>
      </c>
      <c r="N90" s="1051" t="str">
        <f t="shared" si="37"/>
        <v/>
      </c>
      <c r="O90" s="1051" t="str">
        <f t="shared" si="38"/>
        <v/>
      </c>
      <c r="P90" s="1125" t="str">
        <f t="shared" si="39"/>
        <v/>
      </c>
      <c r="Q90" s="472"/>
      <c r="R90" s="923" t="str">
        <f t="shared" si="54"/>
        <v/>
      </c>
      <c r="S90" s="923" t="str">
        <f t="shared" si="40"/>
        <v/>
      </c>
      <c r="T90" s="925" t="str">
        <f t="shared" si="41"/>
        <v/>
      </c>
      <c r="U90" s="545"/>
      <c r="V90" s="712"/>
      <c r="W90" s="957"/>
      <c r="X90" s="1060"/>
      <c r="Y90" s="1095" t="e">
        <f t="shared" si="42"/>
        <v>#VALUE!</v>
      </c>
      <c r="Z90" s="1094">
        <f>tab!$B$50</f>
        <v>0.6</v>
      </c>
      <c r="AA90" s="1126" t="e">
        <f t="shared" si="43"/>
        <v>#VALUE!</v>
      </c>
      <c r="AB90" s="1126" t="e">
        <f t="shared" si="44"/>
        <v>#VALUE!</v>
      </c>
      <c r="AC90" s="1126" t="e">
        <f t="shared" si="45"/>
        <v>#VALUE!</v>
      </c>
      <c r="AD90" s="1128" t="e">
        <f t="shared" si="46"/>
        <v>#VALUE!</v>
      </c>
      <c r="AE90" s="1128">
        <f t="shared" si="47"/>
        <v>0</v>
      </c>
      <c r="AF90" s="1096">
        <f>IF(H90&gt;8,tab!$B$51,tab!$B$54)</f>
        <v>0.5</v>
      </c>
      <c r="AG90" s="1097">
        <f t="shared" si="48"/>
        <v>0</v>
      </c>
      <c r="AH90" s="1093">
        <f t="shared" si="49"/>
        <v>0</v>
      </c>
      <c r="AI90" s="1120" t="e">
        <f>DATE(YEAR(tab!$D$3),MONTH(G90),DAY(G90))&gt;tab!$D$3</f>
        <v>#VALUE!</v>
      </c>
      <c r="AJ90" s="1097" t="e">
        <f t="shared" si="50"/>
        <v>#VALUE!</v>
      </c>
      <c r="AK90" s="1041">
        <f t="shared" si="51"/>
        <v>30</v>
      </c>
      <c r="AL90" s="1041">
        <f t="shared" si="52"/>
        <v>30</v>
      </c>
      <c r="AM90" s="1047">
        <f t="shared" si="53"/>
        <v>0</v>
      </c>
      <c r="AS90" s="727"/>
    </row>
    <row r="91" spans="2:50" ht="12.75" customHeight="1" x14ac:dyDescent="0.3">
      <c r="B91" s="422"/>
      <c r="C91" s="122"/>
      <c r="D91" s="388" t="str">
        <f>IF(op!D23="","",op!D23)</f>
        <v/>
      </c>
      <c r="E91" s="388" t="str">
        <f>IF(op!E23="","",op!E23)</f>
        <v/>
      </c>
      <c r="F91" s="684" t="str">
        <f>IF(op!F23="","",op!F23+1)</f>
        <v/>
      </c>
      <c r="G91" s="710" t="str">
        <f>IF(op!G23="","",op!G23)</f>
        <v/>
      </c>
      <c r="H91" s="684" t="str">
        <f>IF(op!H23=0,"",op!H23)</f>
        <v/>
      </c>
      <c r="I91" s="389" t="str">
        <f>IF(J91="","",IF(op!I23&gt;LOOKUP(H91,schaal2019,regels2019),op!I23-1,IF(op!I23=LOOKUP(H91,schaal2019,regels2019),op!I23,I23+1)))</f>
        <v/>
      </c>
      <c r="J91" s="711" t="str">
        <f>IF(op!J23="","",op!J23)</f>
        <v/>
      </c>
      <c r="K91" s="472"/>
      <c r="L91" s="1049">
        <f>IF(op!L23="",0,op!L23)</f>
        <v>0</v>
      </c>
      <c r="M91" s="1049">
        <f>IF(op!M23="",0,op!M23)</f>
        <v>0</v>
      </c>
      <c r="N91" s="1051" t="str">
        <f t="shared" si="37"/>
        <v/>
      </c>
      <c r="O91" s="1051" t="str">
        <f t="shared" si="38"/>
        <v/>
      </c>
      <c r="P91" s="1125" t="str">
        <f t="shared" si="39"/>
        <v/>
      </c>
      <c r="Q91" s="472"/>
      <c r="R91" s="923" t="str">
        <f t="shared" si="54"/>
        <v/>
      </c>
      <c r="S91" s="923" t="str">
        <f t="shared" si="40"/>
        <v/>
      </c>
      <c r="T91" s="925" t="str">
        <f t="shared" si="41"/>
        <v/>
      </c>
      <c r="U91" s="545"/>
      <c r="V91" s="712"/>
      <c r="W91" s="957"/>
      <c r="X91" s="1060"/>
      <c r="Y91" s="1095" t="e">
        <f t="shared" si="42"/>
        <v>#VALUE!</v>
      </c>
      <c r="Z91" s="1094">
        <f>tab!$B$50</f>
        <v>0.6</v>
      </c>
      <c r="AA91" s="1126" t="e">
        <f t="shared" si="43"/>
        <v>#VALUE!</v>
      </c>
      <c r="AB91" s="1126" t="e">
        <f t="shared" si="44"/>
        <v>#VALUE!</v>
      </c>
      <c r="AC91" s="1126" t="e">
        <f t="shared" si="45"/>
        <v>#VALUE!</v>
      </c>
      <c r="AD91" s="1128" t="e">
        <f t="shared" si="46"/>
        <v>#VALUE!</v>
      </c>
      <c r="AE91" s="1128">
        <f t="shared" si="47"/>
        <v>0</v>
      </c>
      <c r="AF91" s="1096">
        <f>IF(H91&gt;8,tab!$B$51,tab!$B$54)</f>
        <v>0.5</v>
      </c>
      <c r="AG91" s="1097">
        <f t="shared" si="48"/>
        <v>0</v>
      </c>
      <c r="AH91" s="1093">
        <f t="shared" si="49"/>
        <v>0</v>
      </c>
      <c r="AI91" s="1120" t="e">
        <f>DATE(YEAR(tab!$D$3),MONTH(G91),DAY(G91))&gt;tab!$D$3</f>
        <v>#VALUE!</v>
      </c>
      <c r="AJ91" s="1097" t="e">
        <f t="shared" si="50"/>
        <v>#VALUE!</v>
      </c>
      <c r="AK91" s="1041">
        <f t="shared" si="51"/>
        <v>30</v>
      </c>
      <c r="AL91" s="1041">
        <f t="shared" si="52"/>
        <v>30</v>
      </c>
      <c r="AM91" s="1047">
        <f t="shared" si="53"/>
        <v>0</v>
      </c>
      <c r="AS91" s="727"/>
    </row>
    <row r="92" spans="2:50" ht="12.75" customHeight="1" x14ac:dyDescent="0.3">
      <c r="B92" s="422"/>
      <c r="C92" s="122"/>
      <c r="D92" s="388" t="str">
        <f>IF(op!D24="","",op!D24)</f>
        <v/>
      </c>
      <c r="E92" s="388" t="str">
        <f>IF(op!E24="","",op!E24)</f>
        <v/>
      </c>
      <c r="F92" s="684" t="str">
        <f>IF(op!F24="","",op!F24+1)</f>
        <v/>
      </c>
      <c r="G92" s="710" t="str">
        <f>IF(op!G24="","",op!G24)</f>
        <v/>
      </c>
      <c r="H92" s="684" t="str">
        <f>IF(op!H24=0,"",op!H24)</f>
        <v/>
      </c>
      <c r="I92" s="389" t="str">
        <f>IF(J92="","",IF(op!I24&gt;LOOKUP(H92,schaal2019,regels2019),op!I24-1,IF(op!I24=LOOKUP(H92,schaal2019,regels2019),op!I24,I24+1)))</f>
        <v/>
      </c>
      <c r="J92" s="711" t="str">
        <f>IF(op!J24="","",op!J24)</f>
        <v/>
      </c>
      <c r="K92" s="472"/>
      <c r="L92" s="1049">
        <f>IF(op!L24="",0,op!L24)</f>
        <v>0</v>
      </c>
      <c r="M92" s="1049">
        <f>IF(op!M24="",0,op!M24)</f>
        <v>0</v>
      </c>
      <c r="N92" s="1051" t="str">
        <f t="shared" si="37"/>
        <v/>
      </c>
      <c r="O92" s="1051" t="str">
        <f t="shared" si="38"/>
        <v/>
      </c>
      <c r="P92" s="1125" t="str">
        <f t="shared" si="39"/>
        <v/>
      </c>
      <c r="Q92" s="472"/>
      <c r="R92" s="923" t="str">
        <f t="shared" si="54"/>
        <v/>
      </c>
      <c r="S92" s="923" t="str">
        <f t="shared" si="40"/>
        <v/>
      </c>
      <c r="T92" s="925" t="str">
        <f t="shared" si="41"/>
        <v/>
      </c>
      <c r="U92" s="545"/>
      <c r="V92" s="712"/>
      <c r="W92" s="957"/>
      <c r="X92" s="1060"/>
      <c r="Y92" s="1095" t="e">
        <f t="shared" si="42"/>
        <v>#VALUE!</v>
      </c>
      <c r="Z92" s="1094">
        <f>tab!$B$50</f>
        <v>0.6</v>
      </c>
      <c r="AA92" s="1126" t="e">
        <f t="shared" si="43"/>
        <v>#VALUE!</v>
      </c>
      <c r="AB92" s="1126" t="e">
        <f t="shared" si="44"/>
        <v>#VALUE!</v>
      </c>
      <c r="AC92" s="1126" t="e">
        <f t="shared" si="45"/>
        <v>#VALUE!</v>
      </c>
      <c r="AD92" s="1128" t="e">
        <f t="shared" si="46"/>
        <v>#VALUE!</v>
      </c>
      <c r="AE92" s="1128">
        <f t="shared" si="47"/>
        <v>0</v>
      </c>
      <c r="AF92" s="1096">
        <f>IF(H92&gt;8,tab!$B$51,tab!$B$54)</f>
        <v>0.5</v>
      </c>
      <c r="AG92" s="1097">
        <f t="shared" si="48"/>
        <v>0</v>
      </c>
      <c r="AH92" s="1093">
        <f t="shared" si="49"/>
        <v>0</v>
      </c>
      <c r="AI92" s="1120" t="e">
        <f>DATE(YEAR(tab!$D$3),MONTH(G92),DAY(G92))&gt;tab!$D$3</f>
        <v>#VALUE!</v>
      </c>
      <c r="AJ92" s="1097" t="e">
        <f t="shared" si="50"/>
        <v>#VALUE!</v>
      </c>
      <c r="AK92" s="1041">
        <f t="shared" si="51"/>
        <v>30</v>
      </c>
      <c r="AL92" s="1041">
        <f t="shared" si="52"/>
        <v>30</v>
      </c>
      <c r="AM92" s="1047">
        <f t="shared" si="53"/>
        <v>0</v>
      </c>
      <c r="AS92" s="727"/>
    </row>
    <row r="93" spans="2:50" ht="12.75" customHeight="1" x14ac:dyDescent="0.3">
      <c r="B93" s="422"/>
      <c r="C93" s="122"/>
      <c r="D93" s="388" t="str">
        <f>IF(op!D25="","",op!D25)</f>
        <v/>
      </c>
      <c r="E93" s="388" t="str">
        <f>IF(op!E25="","",op!E25)</f>
        <v/>
      </c>
      <c r="F93" s="684" t="str">
        <f>IF(op!F25="","",op!F25+1)</f>
        <v/>
      </c>
      <c r="G93" s="710" t="str">
        <f>IF(op!G25="","",op!G25)</f>
        <v/>
      </c>
      <c r="H93" s="684" t="str">
        <f>IF(op!H25=0,"",op!H25)</f>
        <v/>
      </c>
      <c r="I93" s="389" t="str">
        <f>IF(J93="","",IF(op!I25&gt;LOOKUP(H93,schaal2019,regels2019),op!I25-1,IF(op!I25=LOOKUP(H93,schaal2019,regels2019),op!I25,I25+1)))</f>
        <v/>
      </c>
      <c r="J93" s="711" t="str">
        <f>IF(op!J25="","",op!J25)</f>
        <v/>
      </c>
      <c r="K93" s="472"/>
      <c r="L93" s="1049">
        <f>IF(op!L25="",0,op!L25)</f>
        <v>0</v>
      </c>
      <c r="M93" s="1049">
        <f>IF(op!M25="",0,op!M25)</f>
        <v>0</v>
      </c>
      <c r="N93" s="1051" t="str">
        <f t="shared" si="37"/>
        <v/>
      </c>
      <c r="O93" s="1051" t="str">
        <f t="shared" si="38"/>
        <v/>
      </c>
      <c r="P93" s="1125" t="str">
        <f t="shared" si="39"/>
        <v/>
      </c>
      <c r="Q93" s="472"/>
      <c r="R93" s="923" t="str">
        <f t="shared" si="54"/>
        <v/>
      </c>
      <c r="S93" s="923" t="str">
        <f t="shared" si="40"/>
        <v/>
      </c>
      <c r="T93" s="925" t="str">
        <f t="shared" si="41"/>
        <v/>
      </c>
      <c r="U93" s="545"/>
      <c r="V93" s="712"/>
      <c r="W93" s="957"/>
      <c r="X93" s="1060"/>
      <c r="Y93" s="1095" t="e">
        <f t="shared" si="42"/>
        <v>#VALUE!</v>
      </c>
      <c r="Z93" s="1094">
        <f>tab!$B$50</f>
        <v>0.6</v>
      </c>
      <c r="AA93" s="1126" t="e">
        <f t="shared" si="43"/>
        <v>#VALUE!</v>
      </c>
      <c r="AB93" s="1126" t="e">
        <f t="shared" si="44"/>
        <v>#VALUE!</v>
      </c>
      <c r="AC93" s="1126" t="e">
        <f t="shared" si="45"/>
        <v>#VALUE!</v>
      </c>
      <c r="AD93" s="1128" t="e">
        <f t="shared" si="46"/>
        <v>#VALUE!</v>
      </c>
      <c r="AE93" s="1128">
        <f t="shared" si="47"/>
        <v>0</v>
      </c>
      <c r="AF93" s="1096">
        <f>IF(H93&gt;8,tab!$B$51,tab!$B$54)</f>
        <v>0.5</v>
      </c>
      <c r="AG93" s="1097">
        <f t="shared" si="48"/>
        <v>0</v>
      </c>
      <c r="AH93" s="1093">
        <f t="shared" si="49"/>
        <v>0</v>
      </c>
      <c r="AI93" s="1120" t="e">
        <f>DATE(YEAR(tab!$D$3),MONTH(G93),DAY(G93))&gt;tab!$D$3</f>
        <v>#VALUE!</v>
      </c>
      <c r="AJ93" s="1097" t="e">
        <f t="shared" si="50"/>
        <v>#VALUE!</v>
      </c>
      <c r="AK93" s="1041">
        <f t="shared" si="51"/>
        <v>30</v>
      </c>
      <c r="AL93" s="1041">
        <f t="shared" si="52"/>
        <v>30</v>
      </c>
      <c r="AM93" s="1047">
        <f t="shared" si="53"/>
        <v>0</v>
      </c>
      <c r="AS93" s="727"/>
    </row>
    <row r="94" spans="2:50" ht="12.75" customHeight="1" x14ac:dyDescent="0.3">
      <c r="B94" s="422"/>
      <c r="C94" s="122"/>
      <c r="D94" s="388" t="str">
        <f>IF(op!D26="","",op!D26)</f>
        <v/>
      </c>
      <c r="E94" s="388" t="str">
        <f>IF(op!E26="","",op!E26)</f>
        <v/>
      </c>
      <c r="F94" s="684" t="str">
        <f>IF(op!F26="","",op!F26+1)</f>
        <v/>
      </c>
      <c r="G94" s="710" t="str">
        <f>IF(op!G26="","",op!G26)</f>
        <v/>
      </c>
      <c r="H94" s="684" t="str">
        <f>IF(op!H26=0,"",op!H26)</f>
        <v/>
      </c>
      <c r="I94" s="389" t="str">
        <f>IF(J94="","",IF(op!I26&gt;LOOKUP(H94,schaal2019,regels2019),op!I26-1,IF(op!I26=LOOKUP(H94,schaal2019,regels2019),op!I26,I26+1)))</f>
        <v/>
      </c>
      <c r="J94" s="711" t="str">
        <f>IF(op!J26="","",op!J26)</f>
        <v/>
      </c>
      <c r="K94" s="472"/>
      <c r="L94" s="1049">
        <f>IF(op!L26="",0,op!L26)</f>
        <v>0</v>
      </c>
      <c r="M94" s="1049">
        <f>IF(op!M26="",0,op!M26)</f>
        <v>0</v>
      </c>
      <c r="N94" s="1051" t="str">
        <f t="shared" si="37"/>
        <v/>
      </c>
      <c r="O94" s="1051" t="str">
        <f t="shared" si="38"/>
        <v/>
      </c>
      <c r="P94" s="1125" t="str">
        <f t="shared" si="39"/>
        <v/>
      </c>
      <c r="Q94" s="472"/>
      <c r="R94" s="923" t="str">
        <f t="shared" si="54"/>
        <v/>
      </c>
      <c r="S94" s="923" t="str">
        <f t="shared" si="40"/>
        <v/>
      </c>
      <c r="T94" s="925" t="str">
        <f t="shared" si="41"/>
        <v/>
      </c>
      <c r="U94" s="545"/>
      <c r="V94" s="712"/>
      <c r="W94" s="957"/>
      <c r="X94" s="1060"/>
      <c r="Y94" s="1095" t="e">
        <f t="shared" si="42"/>
        <v>#VALUE!</v>
      </c>
      <c r="Z94" s="1094">
        <f>tab!$B$50</f>
        <v>0.6</v>
      </c>
      <c r="AA94" s="1126" t="e">
        <f t="shared" si="43"/>
        <v>#VALUE!</v>
      </c>
      <c r="AB94" s="1126" t="e">
        <f t="shared" si="44"/>
        <v>#VALUE!</v>
      </c>
      <c r="AC94" s="1126" t="e">
        <f t="shared" si="45"/>
        <v>#VALUE!</v>
      </c>
      <c r="AD94" s="1128" t="e">
        <f t="shared" si="46"/>
        <v>#VALUE!</v>
      </c>
      <c r="AE94" s="1128">
        <f t="shared" si="47"/>
        <v>0</v>
      </c>
      <c r="AF94" s="1096">
        <f>IF(H94&gt;8,tab!$B$51,tab!$B$54)</f>
        <v>0.5</v>
      </c>
      <c r="AG94" s="1097">
        <f t="shared" si="48"/>
        <v>0</v>
      </c>
      <c r="AH94" s="1093">
        <f t="shared" si="49"/>
        <v>0</v>
      </c>
      <c r="AI94" s="1120" t="e">
        <f>DATE(YEAR(tab!$D$3),MONTH(G94),DAY(G94))&gt;tab!$D$3</f>
        <v>#VALUE!</v>
      </c>
      <c r="AJ94" s="1097" t="e">
        <f t="shared" si="50"/>
        <v>#VALUE!</v>
      </c>
      <c r="AK94" s="1041">
        <f t="shared" si="51"/>
        <v>30</v>
      </c>
      <c r="AL94" s="1041">
        <f t="shared" si="52"/>
        <v>30</v>
      </c>
      <c r="AM94" s="1047">
        <f t="shared" si="53"/>
        <v>0</v>
      </c>
      <c r="AS94" s="727"/>
    </row>
    <row r="95" spans="2:50" ht="12.75" customHeight="1" x14ac:dyDescent="0.3">
      <c r="B95" s="422"/>
      <c r="C95" s="122"/>
      <c r="D95" s="388" t="str">
        <f>IF(op!D27="","",op!D27)</f>
        <v/>
      </c>
      <c r="E95" s="388" t="str">
        <f>IF(op!E27="","",op!E27)</f>
        <v/>
      </c>
      <c r="F95" s="684" t="str">
        <f>IF(op!F27="","",op!F27+1)</f>
        <v/>
      </c>
      <c r="G95" s="710" t="str">
        <f>IF(op!G27="","",op!G27)</f>
        <v/>
      </c>
      <c r="H95" s="684" t="str">
        <f>IF(op!H27=0,"",op!H27)</f>
        <v/>
      </c>
      <c r="I95" s="389" t="str">
        <f>IF(J95="","",IF(op!I27&gt;LOOKUP(H95,schaal2019,regels2019),op!I27-1,IF(op!I27=LOOKUP(H95,schaal2019,regels2019),op!I27,I27+1)))</f>
        <v/>
      </c>
      <c r="J95" s="711" t="str">
        <f>IF(op!J27="","",op!J27)</f>
        <v/>
      </c>
      <c r="K95" s="472"/>
      <c r="L95" s="1049">
        <f>IF(op!L27="",0,op!L27)</f>
        <v>0</v>
      </c>
      <c r="M95" s="1049">
        <f>IF(op!M27="",0,op!M27)</f>
        <v>0</v>
      </c>
      <c r="N95" s="1051" t="str">
        <f t="shared" si="37"/>
        <v/>
      </c>
      <c r="O95" s="1051" t="str">
        <f t="shared" si="38"/>
        <v/>
      </c>
      <c r="P95" s="1125" t="str">
        <f t="shared" si="39"/>
        <v/>
      </c>
      <c r="Q95" s="472"/>
      <c r="R95" s="923" t="str">
        <f t="shared" si="54"/>
        <v/>
      </c>
      <c r="S95" s="923" t="str">
        <f t="shared" si="40"/>
        <v/>
      </c>
      <c r="T95" s="925" t="str">
        <f t="shared" si="41"/>
        <v/>
      </c>
      <c r="U95" s="545"/>
      <c r="V95" s="712"/>
      <c r="W95" s="957"/>
      <c r="X95" s="1060"/>
      <c r="Y95" s="1095" t="e">
        <f t="shared" si="42"/>
        <v>#VALUE!</v>
      </c>
      <c r="Z95" s="1094">
        <f>tab!$B$50</f>
        <v>0.6</v>
      </c>
      <c r="AA95" s="1126" t="e">
        <f t="shared" si="43"/>
        <v>#VALUE!</v>
      </c>
      <c r="AB95" s="1126" t="e">
        <f t="shared" si="44"/>
        <v>#VALUE!</v>
      </c>
      <c r="AC95" s="1126" t="e">
        <f t="shared" si="45"/>
        <v>#VALUE!</v>
      </c>
      <c r="AD95" s="1128" t="e">
        <f t="shared" si="46"/>
        <v>#VALUE!</v>
      </c>
      <c r="AE95" s="1128">
        <f t="shared" si="47"/>
        <v>0</v>
      </c>
      <c r="AF95" s="1096">
        <f>IF(H95&gt;8,tab!$B$51,tab!$B$54)</f>
        <v>0.5</v>
      </c>
      <c r="AG95" s="1097">
        <f t="shared" si="48"/>
        <v>0</v>
      </c>
      <c r="AH95" s="1093">
        <f t="shared" si="49"/>
        <v>0</v>
      </c>
      <c r="AI95" s="1120" t="e">
        <f>DATE(YEAR(tab!$D$3),MONTH(G95),DAY(G95))&gt;tab!$D$3</f>
        <v>#VALUE!</v>
      </c>
      <c r="AJ95" s="1097" t="e">
        <f t="shared" si="50"/>
        <v>#VALUE!</v>
      </c>
      <c r="AK95" s="1041">
        <f t="shared" si="51"/>
        <v>30</v>
      </c>
      <c r="AL95" s="1041">
        <f t="shared" si="52"/>
        <v>30</v>
      </c>
      <c r="AM95" s="1047">
        <f t="shared" si="53"/>
        <v>0</v>
      </c>
      <c r="AS95" s="727"/>
    </row>
    <row r="96" spans="2:50" ht="12.75" customHeight="1" x14ac:dyDescent="0.3">
      <c r="B96" s="422"/>
      <c r="C96" s="122"/>
      <c r="D96" s="388" t="str">
        <f>IF(op!D28="","",op!D28)</f>
        <v/>
      </c>
      <c r="E96" s="388" t="str">
        <f>IF(op!E28="","",op!E28)</f>
        <v/>
      </c>
      <c r="F96" s="684" t="str">
        <f>IF(op!F28="","",op!F28+1)</f>
        <v/>
      </c>
      <c r="G96" s="710" t="str">
        <f>IF(op!G28="","",op!G28)</f>
        <v/>
      </c>
      <c r="H96" s="684" t="str">
        <f>IF(op!H28=0,"",op!H28)</f>
        <v/>
      </c>
      <c r="I96" s="389" t="str">
        <f>IF(J96="","",IF(op!I28&gt;LOOKUP(H96,schaal2019,regels2019),op!I28-1,IF(op!I28=LOOKUP(H96,schaal2019,regels2019),op!I28,I28+1)))</f>
        <v/>
      </c>
      <c r="J96" s="711" t="str">
        <f>IF(op!J28="","",op!J28)</f>
        <v/>
      </c>
      <c r="K96" s="472"/>
      <c r="L96" s="1049">
        <f>IF(op!L28="",0,op!L28)</f>
        <v>0</v>
      </c>
      <c r="M96" s="1049">
        <f>IF(op!M28="",0,op!M28)</f>
        <v>0</v>
      </c>
      <c r="N96" s="1051" t="str">
        <f t="shared" si="37"/>
        <v/>
      </c>
      <c r="O96" s="1051" t="str">
        <f t="shared" si="38"/>
        <v/>
      </c>
      <c r="P96" s="1125" t="str">
        <f t="shared" si="39"/>
        <v/>
      </c>
      <c r="Q96" s="472"/>
      <c r="R96" s="923" t="str">
        <f t="shared" si="54"/>
        <v/>
      </c>
      <c r="S96" s="923" t="str">
        <f t="shared" si="40"/>
        <v/>
      </c>
      <c r="T96" s="925" t="str">
        <f t="shared" si="41"/>
        <v/>
      </c>
      <c r="U96" s="545"/>
      <c r="V96" s="712"/>
      <c r="W96" s="957"/>
      <c r="X96" s="1060"/>
      <c r="Y96" s="1095" t="e">
        <f t="shared" si="42"/>
        <v>#VALUE!</v>
      </c>
      <c r="Z96" s="1094">
        <f>tab!$B$50</f>
        <v>0.6</v>
      </c>
      <c r="AA96" s="1126" t="e">
        <f t="shared" si="43"/>
        <v>#VALUE!</v>
      </c>
      <c r="AB96" s="1126" t="e">
        <f t="shared" si="44"/>
        <v>#VALUE!</v>
      </c>
      <c r="AC96" s="1126" t="e">
        <f t="shared" si="45"/>
        <v>#VALUE!</v>
      </c>
      <c r="AD96" s="1128" t="e">
        <f t="shared" si="46"/>
        <v>#VALUE!</v>
      </c>
      <c r="AE96" s="1128">
        <f t="shared" si="47"/>
        <v>0</v>
      </c>
      <c r="AF96" s="1096">
        <f>IF(H96&gt;8,tab!$B$51,tab!$B$54)</f>
        <v>0.5</v>
      </c>
      <c r="AG96" s="1097">
        <f t="shared" si="48"/>
        <v>0</v>
      </c>
      <c r="AH96" s="1093">
        <f t="shared" si="49"/>
        <v>0</v>
      </c>
      <c r="AI96" s="1120" t="e">
        <f>DATE(YEAR(tab!$D$3),MONTH(G96),DAY(G96))&gt;tab!$D$3</f>
        <v>#VALUE!</v>
      </c>
      <c r="AJ96" s="1097" t="e">
        <f t="shared" si="50"/>
        <v>#VALUE!</v>
      </c>
      <c r="AK96" s="1041">
        <f t="shared" si="51"/>
        <v>30</v>
      </c>
      <c r="AL96" s="1041">
        <f t="shared" si="52"/>
        <v>30</v>
      </c>
      <c r="AM96" s="1047">
        <f t="shared" si="53"/>
        <v>0</v>
      </c>
      <c r="AS96" s="727"/>
    </row>
    <row r="97" spans="2:45" ht="12.75" customHeight="1" x14ac:dyDescent="0.3">
      <c r="B97" s="422"/>
      <c r="C97" s="122"/>
      <c r="D97" s="388" t="str">
        <f>IF(op!D29="","",op!D29)</f>
        <v/>
      </c>
      <c r="E97" s="388" t="str">
        <f>IF(op!E29="","",op!E29)</f>
        <v/>
      </c>
      <c r="F97" s="684" t="str">
        <f>IF(op!F29="","",op!F29+1)</f>
        <v/>
      </c>
      <c r="G97" s="710" t="str">
        <f>IF(op!G29="","",op!G29)</f>
        <v/>
      </c>
      <c r="H97" s="684" t="str">
        <f>IF(op!H29=0,"",op!H29)</f>
        <v/>
      </c>
      <c r="I97" s="389" t="str">
        <f>IF(J97="","",IF(op!I29&gt;LOOKUP(H97,schaal2019,regels2019),op!I29-1,IF(op!I29=LOOKUP(H97,schaal2019,regels2019),op!I29,I29+1)))</f>
        <v/>
      </c>
      <c r="J97" s="711" t="str">
        <f>IF(op!J29="","",op!J29)</f>
        <v/>
      </c>
      <c r="K97" s="472"/>
      <c r="L97" s="1049">
        <f>IF(op!L29="",0,op!L29)</f>
        <v>0</v>
      </c>
      <c r="M97" s="1049">
        <f>IF(op!M29="",0,op!M29)</f>
        <v>0</v>
      </c>
      <c r="N97" s="1051" t="str">
        <f t="shared" si="37"/>
        <v/>
      </c>
      <c r="O97" s="1051" t="str">
        <f t="shared" si="38"/>
        <v/>
      </c>
      <c r="P97" s="1125" t="str">
        <f t="shared" si="39"/>
        <v/>
      </c>
      <c r="Q97" s="472"/>
      <c r="R97" s="923" t="str">
        <f t="shared" si="54"/>
        <v/>
      </c>
      <c r="S97" s="923" t="str">
        <f t="shared" si="40"/>
        <v/>
      </c>
      <c r="T97" s="925" t="str">
        <f t="shared" si="41"/>
        <v/>
      </c>
      <c r="U97" s="545"/>
      <c r="V97" s="712"/>
      <c r="W97" s="957"/>
      <c r="X97" s="1060"/>
      <c r="Y97" s="1095" t="e">
        <f t="shared" si="42"/>
        <v>#VALUE!</v>
      </c>
      <c r="Z97" s="1094">
        <f>tab!$B$50</f>
        <v>0.6</v>
      </c>
      <c r="AA97" s="1126" t="e">
        <f t="shared" si="43"/>
        <v>#VALUE!</v>
      </c>
      <c r="AB97" s="1126" t="e">
        <f t="shared" si="44"/>
        <v>#VALUE!</v>
      </c>
      <c r="AC97" s="1126" t="e">
        <f t="shared" si="45"/>
        <v>#VALUE!</v>
      </c>
      <c r="AD97" s="1128" t="e">
        <f t="shared" si="46"/>
        <v>#VALUE!</v>
      </c>
      <c r="AE97" s="1128">
        <f t="shared" si="47"/>
        <v>0</v>
      </c>
      <c r="AF97" s="1096">
        <f>IF(H97&gt;8,tab!$B$51,tab!$B$54)</f>
        <v>0.5</v>
      </c>
      <c r="AG97" s="1097">
        <f t="shared" si="48"/>
        <v>0</v>
      </c>
      <c r="AH97" s="1093">
        <f t="shared" si="49"/>
        <v>0</v>
      </c>
      <c r="AI97" s="1120" t="e">
        <f>DATE(YEAR(tab!$D$3),MONTH(G97),DAY(G97))&gt;tab!$D$3</f>
        <v>#VALUE!</v>
      </c>
      <c r="AJ97" s="1097" t="e">
        <f t="shared" si="50"/>
        <v>#VALUE!</v>
      </c>
      <c r="AK97" s="1041">
        <f t="shared" si="51"/>
        <v>30</v>
      </c>
      <c r="AL97" s="1041">
        <f t="shared" si="52"/>
        <v>30</v>
      </c>
      <c r="AM97" s="1047">
        <f t="shared" si="53"/>
        <v>0</v>
      </c>
      <c r="AS97" s="727"/>
    </row>
    <row r="98" spans="2:45" ht="12.75" customHeight="1" x14ac:dyDescent="0.3">
      <c r="B98" s="422"/>
      <c r="C98" s="122"/>
      <c r="D98" s="388" t="str">
        <f>IF(op!D30="","",op!D30)</f>
        <v/>
      </c>
      <c r="E98" s="388" t="str">
        <f>IF(op!E30="","",op!E30)</f>
        <v/>
      </c>
      <c r="F98" s="684" t="str">
        <f>IF(op!F30="","",op!F30+1)</f>
        <v/>
      </c>
      <c r="G98" s="710" t="str">
        <f>IF(op!G30="","",op!G30)</f>
        <v/>
      </c>
      <c r="H98" s="684" t="str">
        <f>IF(op!H30=0,"",op!H30)</f>
        <v/>
      </c>
      <c r="I98" s="389" t="str">
        <f>IF(J98="","",IF(op!I30&gt;LOOKUP(H98,schaal2019,regels2019),op!I30-1,IF(op!I30=LOOKUP(H98,schaal2019,regels2019),op!I30,I30+1)))</f>
        <v/>
      </c>
      <c r="J98" s="711" t="str">
        <f>IF(op!J30="","",op!J30)</f>
        <v/>
      </c>
      <c r="K98" s="472"/>
      <c r="L98" s="1049">
        <f>IF(op!L30="",0,op!L30)</f>
        <v>0</v>
      </c>
      <c r="M98" s="1049">
        <f>IF(op!M30="",0,op!M30)</f>
        <v>0</v>
      </c>
      <c r="N98" s="1051" t="str">
        <f t="shared" si="37"/>
        <v/>
      </c>
      <c r="O98" s="1051" t="str">
        <f t="shared" si="38"/>
        <v/>
      </c>
      <c r="P98" s="1125" t="str">
        <f t="shared" si="39"/>
        <v/>
      </c>
      <c r="Q98" s="472"/>
      <c r="R98" s="923" t="str">
        <f t="shared" si="54"/>
        <v/>
      </c>
      <c r="S98" s="923" t="str">
        <f t="shared" si="40"/>
        <v/>
      </c>
      <c r="T98" s="925" t="str">
        <f t="shared" si="41"/>
        <v/>
      </c>
      <c r="U98" s="545"/>
      <c r="V98" s="712"/>
      <c r="W98" s="957"/>
      <c r="X98" s="1060"/>
      <c r="Y98" s="1095" t="e">
        <f t="shared" si="42"/>
        <v>#VALUE!</v>
      </c>
      <c r="Z98" s="1094">
        <f>tab!$B$50</f>
        <v>0.6</v>
      </c>
      <c r="AA98" s="1126" t="e">
        <f t="shared" si="43"/>
        <v>#VALUE!</v>
      </c>
      <c r="AB98" s="1126" t="e">
        <f t="shared" si="44"/>
        <v>#VALUE!</v>
      </c>
      <c r="AC98" s="1126" t="e">
        <f t="shared" si="45"/>
        <v>#VALUE!</v>
      </c>
      <c r="AD98" s="1128" t="e">
        <f t="shared" si="46"/>
        <v>#VALUE!</v>
      </c>
      <c r="AE98" s="1128">
        <f t="shared" si="47"/>
        <v>0</v>
      </c>
      <c r="AF98" s="1096">
        <f>IF(H98&gt;8,tab!$B$51,tab!$B$54)</f>
        <v>0.5</v>
      </c>
      <c r="AG98" s="1097">
        <f t="shared" si="48"/>
        <v>0</v>
      </c>
      <c r="AH98" s="1093">
        <f t="shared" si="49"/>
        <v>0</v>
      </c>
      <c r="AI98" s="1120" t="e">
        <f>DATE(YEAR(tab!$D$3),MONTH(G98),DAY(G98))&gt;tab!$D$3</f>
        <v>#VALUE!</v>
      </c>
      <c r="AJ98" s="1097" t="e">
        <f t="shared" si="50"/>
        <v>#VALUE!</v>
      </c>
      <c r="AK98" s="1041">
        <f t="shared" si="51"/>
        <v>30</v>
      </c>
      <c r="AL98" s="1041">
        <f t="shared" si="52"/>
        <v>30</v>
      </c>
      <c r="AM98" s="1047">
        <f t="shared" si="53"/>
        <v>0</v>
      </c>
      <c r="AS98" s="727"/>
    </row>
    <row r="99" spans="2:45" ht="12.75" customHeight="1" x14ac:dyDescent="0.3">
      <c r="B99" s="422"/>
      <c r="C99" s="122"/>
      <c r="D99" s="388" t="str">
        <f>IF(op!D31="","",op!D31)</f>
        <v/>
      </c>
      <c r="E99" s="388" t="str">
        <f>IF(op!E31="","",op!E31)</f>
        <v/>
      </c>
      <c r="F99" s="684" t="str">
        <f>IF(op!F31="","",op!F31+1)</f>
        <v/>
      </c>
      <c r="G99" s="710" t="str">
        <f>IF(op!G31="","",op!G31)</f>
        <v/>
      </c>
      <c r="H99" s="684" t="str">
        <f>IF(op!H31=0,"",op!H31)</f>
        <v/>
      </c>
      <c r="I99" s="389" t="str">
        <f>IF(J99="","",IF(op!I31&gt;LOOKUP(H99,schaal2019,regels2019),op!I31-1,IF(op!I31=LOOKUP(H99,schaal2019,regels2019),op!I31,I31+1)))</f>
        <v/>
      </c>
      <c r="J99" s="711" t="str">
        <f>IF(op!J31="","",op!J31)</f>
        <v/>
      </c>
      <c r="K99" s="472"/>
      <c r="L99" s="1049">
        <f>IF(op!L31="",0,op!L31)</f>
        <v>0</v>
      </c>
      <c r="M99" s="1049">
        <f>IF(op!M31="",0,op!M31)</f>
        <v>0</v>
      </c>
      <c r="N99" s="1051" t="str">
        <f t="shared" si="37"/>
        <v/>
      </c>
      <c r="O99" s="1051" t="str">
        <f t="shared" si="38"/>
        <v/>
      </c>
      <c r="P99" s="1125" t="str">
        <f t="shared" si="39"/>
        <v/>
      </c>
      <c r="Q99" s="472"/>
      <c r="R99" s="923" t="str">
        <f t="shared" si="54"/>
        <v/>
      </c>
      <c r="S99" s="923" t="str">
        <f t="shared" si="40"/>
        <v/>
      </c>
      <c r="T99" s="925" t="str">
        <f t="shared" si="41"/>
        <v/>
      </c>
      <c r="U99" s="545"/>
      <c r="V99" s="712"/>
      <c r="W99" s="957"/>
      <c r="X99" s="1060"/>
      <c r="Y99" s="1095" t="e">
        <f t="shared" si="42"/>
        <v>#VALUE!</v>
      </c>
      <c r="Z99" s="1094">
        <f>tab!$B$50</f>
        <v>0.6</v>
      </c>
      <c r="AA99" s="1126" t="e">
        <f t="shared" si="43"/>
        <v>#VALUE!</v>
      </c>
      <c r="AB99" s="1126" t="e">
        <f t="shared" si="44"/>
        <v>#VALUE!</v>
      </c>
      <c r="AC99" s="1126" t="e">
        <f t="shared" si="45"/>
        <v>#VALUE!</v>
      </c>
      <c r="AD99" s="1128" t="e">
        <f t="shared" si="46"/>
        <v>#VALUE!</v>
      </c>
      <c r="AE99" s="1128">
        <f t="shared" si="47"/>
        <v>0</v>
      </c>
      <c r="AF99" s="1096">
        <f>IF(H99&gt;8,tab!$B$51,tab!$B$54)</f>
        <v>0.5</v>
      </c>
      <c r="AG99" s="1097">
        <f t="shared" si="48"/>
        <v>0</v>
      </c>
      <c r="AH99" s="1093">
        <f t="shared" si="49"/>
        <v>0</v>
      </c>
      <c r="AI99" s="1120" t="e">
        <f>DATE(YEAR(tab!$D$3),MONTH(G99),DAY(G99))&gt;tab!$D$3</f>
        <v>#VALUE!</v>
      </c>
      <c r="AJ99" s="1097" t="e">
        <f t="shared" si="50"/>
        <v>#VALUE!</v>
      </c>
      <c r="AK99" s="1041">
        <f t="shared" si="51"/>
        <v>30</v>
      </c>
      <c r="AL99" s="1041">
        <f t="shared" si="52"/>
        <v>30</v>
      </c>
      <c r="AM99" s="1047">
        <f t="shared" si="53"/>
        <v>0</v>
      </c>
      <c r="AS99" s="727"/>
    </row>
    <row r="100" spans="2:45" ht="12.75" customHeight="1" x14ac:dyDescent="0.3">
      <c r="B100" s="422"/>
      <c r="C100" s="122"/>
      <c r="D100" s="388" t="str">
        <f>IF(op!D32="","",op!D32)</f>
        <v/>
      </c>
      <c r="E100" s="388" t="str">
        <f>IF(op!E32="","",op!E32)</f>
        <v/>
      </c>
      <c r="F100" s="684" t="str">
        <f>IF(op!F32="","",op!F32+1)</f>
        <v/>
      </c>
      <c r="G100" s="710" t="str">
        <f>IF(op!G32="","",op!G32)</f>
        <v/>
      </c>
      <c r="H100" s="684" t="str">
        <f>IF(op!H32=0,"",op!H32)</f>
        <v/>
      </c>
      <c r="I100" s="389" t="str">
        <f>IF(J100="","",IF(op!I32&gt;LOOKUP(H100,schaal2019,regels2019),op!I32-1,IF(op!I32=LOOKUP(H100,schaal2019,regels2019),op!I32,I32+1)))</f>
        <v/>
      </c>
      <c r="J100" s="711" t="str">
        <f>IF(op!J32="","",op!J32)</f>
        <v/>
      </c>
      <c r="K100" s="472"/>
      <c r="L100" s="1049">
        <f>IF(op!L32="",0,op!L32)</f>
        <v>0</v>
      </c>
      <c r="M100" s="1049">
        <f>IF(op!M32="",0,op!M32)</f>
        <v>0</v>
      </c>
      <c r="N100" s="1051" t="str">
        <f t="shared" si="37"/>
        <v/>
      </c>
      <c r="O100" s="1051" t="str">
        <f t="shared" si="38"/>
        <v/>
      </c>
      <c r="P100" s="1125" t="str">
        <f t="shared" si="39"/>
        <v/>
      </c>
      <c r="Q100" s="472"/>
      <c r="R100" s="923" t="str">
        <f t="shared" si="54"/>
        <v/>
      </c>
      <c r="S100" s="923" t="str">
        <f t="shared" si="40"/>
        <v/>
      </c>
      <c r="T100" s="925" t="str">
        <f t="shared" si="41"/>
        <v/>
      </c>
      <c r="U100" s="545"/>
      <c r="V100" s="712"/>
      <c r="W100" s="957"/>
      <c r="X100" s="1060"/>
      <c r="Y100" s="1095" t="e">
        <f t="shared" si="42"/>
        <v>#VALUE!</v>
      </c>
      <c r="Z100" s="1094">
        <f>tab!$B$50</f>
        <v>0.6</v>
      </c>
      <c r="AA100" s="1126" t="e">
        <f t="shared" si="43"/>
        <v>#VALUE!</v>
      </c>
      <c r="AB100" s="1126" t="e">
        <f t="shared" si="44"/>
        <v>#VALUE!</v>
      </c>
      <c r="AC100" s="1126" t="e">
        <f t="shared" si="45"/>
        <v>#VALUE!</v>
      </c>
      <c r="AD100" s="1128" t="e">
        <f t="shared" si="46"/>
        <v>#VALUE!</v>
      </c>
      <c r="AE100" s="1128">
        <f t="shared" si="47"/>
        <v>0</v>
      </c>
      <c r="AF100" s="1096">
        <f>IF(H100&gt;8,tab!$B$51,tab!$B$54)</f>
        <v>0.5</v>
      </c>
      <c r="AG100" s="1097">
        <f t="shared" si="48"/>
        <v>0</v>
      </c>
      <c r="AH100" s="1093">
        <f t="shared" si="49"/>
        <v>0</v>
      </c>
      <c r="AI100" s="1120" t="e">
        <f>DATE(YEAR(tab!$D$3),MONTH(G100),DAY(G100))&gt;tab!$D$3</f>
        <v>#VALUE!</v>
      </c>
      <c r="AJ100" s="1097" t="e">
        <f t="shared" si="50"/>
        <v>#VALUE!</v>
      </c>
      <c r="AK100" s="1041">
        <f t="shared" si="51"/>
        <v>30</v>
      </c>
      <c r="AL100" s="1041">
        <f t="shared" si="52"/>
        <v>30</v>
      </c>
      <c r="AM100" s="1047">
        <f t="shared" si="53"/>
        <v>0</v>
      </c>
      <c r="AS100" s="727"/>
    </row>
    <row r="101" spans="2:45" ht="12.75" customHeight="1" x14ac:dyDescent="0.3">
      <c r="B101" s="422"/>
      <c r="C101" s="122"/>
      <c r="D101" s="388" t="str">
        <f>IF(op!D33="","",op!D33)</f>
        <v/>
      </c>
      <c r="E101" s="388" t="str">
        <f>IF(op!E33="","",op!E33)</f>
        <v/>
      </c>
      <c r="F101" s="684" t="str">
        <f>IF(op!F33="","",op!F33+1)</f>
        <v/>
      </c>
      <c r="G101" s="710" t="str">
        <f>IF(op!G33="","",op!G33)</f>
        <v/>
      </c>
      <c r="H101" s="684" t="str">
        <f>IF(op!H33=0,"",op!H33)</f>
        <v/>
      </c>
      <c r="I101" s="389" t="str">
        <f>IF(J101="","",IF(op!I33&gt;LOOKUP(H101,schaal2019,regels2019),op!I33-1,IF(op!I33=LOOKUP(H101,schaal2019,regels2019),op!I33,I33+1)))</f>
        <v/>
      </c>
      <c r="J101" s="711" t="str">
        <f>IF(op!J33="","",op!J33)</f>
        <v/>
      </c>
      <c r="K101" s="472"/>
      <c r="L101" s="1049">
        <f>IF(op!L33="",0,op!L33)</f>
        <v>0</v>
      </c>
      <c r="M101" s="1049">
        <f>IF(op!M33="",0,op!M33)</f>
        <v>0</v>
      </c>
      <c r="N101" s="1051" t="str">
        <f t="shared" si="37"/>
        <v/>
      </c>
      <c r="O101" s="1051" t="str">
        <f t="shared" si="38"/>
        <v/>
      </c>
      <c r="P101" s="1125" t="str">
        <f t="shared" si="39"/>
        <v/>
      </c>
      <c r="Q101" s="472"/>
      <c r="R101" s="923" t="str">
        <f t="shared" si="54"/>
        <v/>
      </c>
      <c r="S101" s="923" t="str">
        <f t="shared" si="40"/>
        <v/>
      </c>
      <c r="T101" s="925" t="str">
        <f t="shared" si="41"/>
        <v/>
      </c>
      <c r="U101" s="545"/>
      <c r="V101" s="712"/>
      <c r="W101" s="957"/>
      <c r="X101" s="1060"/>
      <c r="Y101" s="1095" t="e">
        <f t="shared" si="42"/>
        <v>#VALUE!</v>
      </c>
      <c r="Z101" s="1094">
        <f>tab!$B$50</f>
        <v>0.6</v>
      </c>
      <c r="AA101" s="1126" t="e">
        <f t="shared" si="43"/>
        <v>#VALUE!</v>
      </c>
      <c r="AB101" s="1126" t="e">
        <f t="shared" si="44"/>
        <v>#VALUE!</v>
      </c>
      <c r="AC101" s="1126" t="e">
        <f t="shared" si="45"/>
        <v>#VALUE!</v>
      </c>
      <c r="AD101" s="1128" t="e">
        <f t="shared" si="46"/>
        <v>#VALUE!</v>
      </c>
      <c r="AE101" s="1128">
        <f t="shared" si="47"/>
        <v>0</v>
      </c>
      <c r="AF101" s="1096">
        <f>IF(H101&gt;8,tab!$B$51,tab!$B$54)</f>
        <v>0.5</v>
      </c>
      <c r="AG101" s="1097">
        <f t="shared" si="48"/>
        <v>0</v>
      </c>
      <c r="AH101" s="1093">
        <f t="shared" si="49"/>
        <v>0</v>
      </c>
      <c r="AI101" s="1120" t="e">
        <f>DATE(YEAR(tab!$D$3),MONTH(G101),DAY(G101))&gt;tab!$D$3</f>
        <v>#VALUE!</v>
      </c>
      <c r="AJ101" s="1097" t="e">
        <f t="shared" si="50"/>
        <v>#VALUE!</v>
      </c>
      <c r="AK101" s="1041">
        <f t="shared" si="51"/>
        <v>30</v>
      </c>
      <c r="AL101" s="1041">
        <f t="shared" si="52"/>
        <v>30</v>
      </c>
      <c r="AM101" s="1047">
        <f t="shared" si="53"/>
        <v>0</v>
      </c>
      <c r="AS101" s="727"/>
    </row>
    <row r="102" spans="2:45" ht="12.75" customHeight="1" x14ac:dyDescent="0.3">
      <c r="B102" s="422"/>
      <c r="C102" s="122"/>
      <c r="D102" s="388" t="str">
        <f>IF(op!D34="","",op!D34)</f>
        <v/>
      </c>
      <c r="E102" s="388" t="str">
        <f>IF(op!E34="","",op!E34)</f>
        <v/>
      </c>
      <c r="F102" s="684" t="str">
        <f>IF(op!F34="","",op!F34+1)</f>
        <v/>
      </c>
      <c r="G102" s="710" t="str">
        <f>IF(op!G34="","",op!G34)</f>
        <v/>
      </c>
      <c r="H102" s="684" t="str">
        <f>IF(op!H34=0,"",op!H34)</f>
        <v/>
      </c>
      <c r="I102" s="389" t="str">
        <f>IF(J102="","",IF(op!I34&gt;LOOKUP(H102,schaal2019,regels2019),op!I34-1,IF(op!I34=LOOKUP(H102,schaal2019,regels2019),op!I34,I34+1)))</f>
        <v/>
      </c>
      <c r="J102" s="711" t="str">
        <f>IF(op!J34="","",op!J34)</f>
        <v/>
      </c>
      <c r="K102" s="472"/>
      <c r="L102" s="1049">
        <f>IF(op!L34="",0,op!L34)</f>
        <v>0</v>
      </c>
      <c r="M102" s="1049">
        <f>IF(op!M34="",0,op!M34)</f>
        <v>0</v>
      </c>
      <c r="N102" s="1051" t="str">
        <f t="shared" si="37"/>
        <v/>
      </c>
      <c r="O102" s="1051" t="str">
        <f t="shared" si="38"/>
        <v/>
      </c>
      <c r="P102" s="1125" t="str">
        <f t="shared" si="39"/>
        <v/>
      </c>
      <c r="Q102" s="472"/>
      <c r="R102" s="923" t="str">
        <f t="shared" si="54"/>
        <v/>
      </c>
      <c r="S102" s="923" t="str">
        <f t="shared" si="40"/>
        <v/>
      </c>
      <c r="T102" s="925" t="str">
        <f t="shared" si="41"/>
        <v/>
      </c>
      <c r="U102" s="545"/>
      <c r="V102" s="712"/>
      <c r="W102" s="957"/>
      <c r="X102" s="1060"/>
      <c r="Y102" s="1095" t="e">
        <f t="shared" si="42"/>
        <v>#VALUE!</v>
      </c>
      <c r="Z102" s="1094">
        <f>tab!$B$50</f>
        <v>0.6</v>
      </c>
      <c r="AA102" s="1126" t="e">
        <f t="shared" si="43"/>
        <v>#VALUE!</v>
      </c>
      <c r="AB102" s="1126" t="e">
        <f t="shared" si="44"/>
        <v>#VALUE!</v>
      </c>
      <c r="AC102" s="1126" t="e">
        <f t="shared" si="45"/>
        <v>#VALUE!</v>
      </c>
      <c r="AD102" s="1128" t="e">
        <f t="shared" si="46"/>
        <v>#VALUE!</v>
      </c>
      <c r="AE102" s="1128">
        <f t="shared" si="47"/>
        <v>0</v>
      </c>
      <c r="AF102" s="1096">
        <f>IF(H102&gt;8,tab!$B$51,tab!$B$54)</f>
        <v>0.5</v>
      </c>
      <c r="AG102" s="1097">
        <f t="shared" si="48"/>
        <v>0</v>
      </c>
      <c r="AH102" s="1093">
        <f t="shared" si="49"/>
        <v>0</v>
      </c>
      <c r="AI102" s="1120" t="e">
        <f>DATE(YEAR(tab!$D$3),MONTH(G102),DAY(G102))&gt;tab!$D$3</f>
        <v>#VALUE!</v>
      </c>
      <c r="AJ102" s="1097" t="e">
        <f t="shared" si="50"/>
        <v>#VALUE!</v>
      </c>
      <c r="AK102" s="1041">
        <f t="shared" si="51"/>
        <v>30</v>
      </c>
      <c r="AL102" s="1041">
        <f t="shared" si="52"/>
        <v>30</v>
      </c>
      <c r="AM102" s="1047">
        <f t="shared" si="53"/>
        <v>0</v>
      </c>
      <c r="AS102" s="727"/>
    </row>
    <row r="103" spans="2:45" ht="12.75" customHeight="1" x14ac:dyDescent="0.3">
      <c r="B103" s="422"/>
      <c r="C103" s="122"/>
      <c r="D103" s="388" t="str">
        <f>IF(op!D35="","",op!D35)</f>
        <v/>
      </c>
      <c r="E103" s="388" t="str">
        <f>IF(op!E35="","",op!E35)</f>
        <v/>
      </c>
      <c r="F103" s="684" t="str">
        <f>IF(op!F35="","",op!F35+1)</f>
        <v/>
      </c>
      <c r="G103" s="710" t="str">
        <f>IF(op!G35="","",op!G35)</f>
        <v/>
      </c>
      <c r="H103" s="684" t="str">
        <f>IF(op!H35=0,"",op!H35)</f>
        <v/>
      </c>
      <c r="I103" s="389" t="str">
        <f>IF(J103="","",IF(op!I35&gt;LOOKUP(H103,schaal2019,regels2019),op!I35-1,IF(op!I35=LOOKUP(H103,schaal2019,regels2019),op!I35,I35+1)))</f>
        <v/>
      </c>
      <c r="J103" s="711" t="str">
        <f>IF(op!J35="","",op!J35)</f>
        <v/>
      </c>
      <c r="K103" s="472"/>
      <c r="L103" s="1049">
        <f>IF(op!L35="",0,op!L35)</f>
        <v>0</v>
      </c>
      <c r="M103" s="1049">
        <f>IF(op!M35="",0,op!M35)</f>
        <v>0</v>
      </c>
      <c r="N103" s="1051" t="str">
        <f t="shared" si="37"/>
        <v/>
      </c>
      <c r="O103" s="1051" t="str">
        <f t="shared" si="38"/>
        <v/>
      </c>
      <c r="P103" s="1125" t="str">
        <f t="shared" si="39"/>
        <v/>
      </c>
      <c r="Q103" s="472"/>
      <c r="R103" s="923" t="str">
        <f t="shared" si="54"/>
        <v/>
      </c>
      <c r="S103" s="923" t="str">
        <f t="shared" si="40"/>
        <v/>
      </c>
      <c r="T103" s="925" t="str">
        <f t="shared" si="41"/>
        <v/>
      </c>
      <c r="U103" s="545"/>
      <c r="V103" s="712"/>
      <c r="W103" s="957"/>
      <c r="X103" s="1060"/>
      <c r="Y103" s="1095" t="e">
        <f t="shared" si="42"/>
        <v>#VALUE!</v>
      </c>
      <c r="Z103" s="1094">
        <f>tab!$B$50</f>
        <v>0.6</v>
      </c>
      <c r="AA103" s="1126" t="e">
        <f t="shared" si="43"/>
        <v>#VALUE!</v>
      </c>
      <c r="AB103" s="1126" t="e">
        <f t="shared" si="44"/>
        <v>#VALUE!</v>
      </c>
      <c r="AC103" s="1126" t="e">
        <f t="shared" si="45"/>
        <v>#VALUE!</v>
      </c>
      <c r="AD103" s="1128" t="e">
        <f t="shared" si="46"/>
        <v>#VALUE!</v>
      </c>
      <c r="AE103" s="1128">
        <f t="shared" si="47"/>
        <v>0</v>
      </c>
      <c r="AF103" s="1096">
        <f>IF(H103&gt;8,tab!$B$51,tab!$B$54)</f>
        <v>0.5</v>
      </c>
      <c r="AG103" s="1097">
        <f t="shared" si="48"/>
        <v>0</v>
      </c>
      <c r="AH103" s="1093">
        <f t="shared" si="49"/>
        <v>0</v>
      </c>
      <c r="AI103" s="1120" t="e">
        <f>DATE(YEAR(tab!$D$3),MONTH(G103),DAY(G103))&gt;tab!$D$3</f>
        <v>#VALUE!</v>
      </c>
      <c r="AJ103" s="1097" t="e">
        <f t="shared" si="50"/>
        <v>#VALUE!</v>
      </c>
      <c r="AK103" s="1041">
        <f t="shared" si="51"/>
        <v>30</v>
      </c>
      <c r="AL103" s="1041">
        <f t="shared" si="52"/>
        <v>30</v>
      </c>
      <c r="AM103" s="1047">
        <f t="shared" si="53"/>
        <v>0</v>
      </c>
      <c r="AS103" s="727"/>
    </row>
    <row r="104" spans="2:45" ht="12.75" customHeight="1" x14ac:dyDescent="0.3">
      <c r="B104" s="422"/>
      <c r="C104" s="122"/>
      <c r="D104" s="388" t="str">
        <f>IF(op!D36="","",op!D36)</f>
        <v/>
      </c>
      <c r="E104" s="388" t="str">
        <f>IF(op!E36="","",op!E36)</f>
        <v/>
      </c>
      <c r="F104" s="684" t="str">
        <f>IF(op!F36="","",op!F36+1)</f>
        <v/>
      </c>
      <c r="G104" s="710" t="str">
        <f>IF(op!G36="","",op!G36)</f>
        <v/>
      </c>
      <c r="H104" s="684" t="str">
        <f>IF(op!H36=0,"",op!H36)</f>
        <v/>
      </c>
      <c r="I104" s="389" t="str">
        <f>IF(J104="","",IF(op!I36&gt;LOOKUP(H104,schaal2019,regels2019),op!I36-1,IF(op!I36=LOOKUP(H104,schaal2019,regels2019),op!I36,I36+1)))</f>
        <v/>
      </c>
      <c r="J104" s="711" t="str">
        <f>IF(op!J36="","",op!J36)</f>
        <v/>
      </c>
      <c r="K104" s="472"/>
      <c r="L104" s="1049">
        <f>IF(op!L36="",0,op!L36)</f>
        <v>0</v>
      </c>
      <c r="M104" s="1049">
        <f>IF(op!M36="",0,op!M36)</f>
        <v>0</v>
      </c>
      <c r="N104" s="1051" t="str">
        <f t="shared" si="37"/>
        <v/>
      </c>
      <c r="O104" s="1051" t="str">
        <f t="shared" si="38"/>
        <v/>
      </c>
      <c r="P104" s="1125" t="str">
        <f t="shared" si="39"/>
        <v/>
      </c>
      <c r="Q104" s="472"/>
      <c r="R104" s="923" t="str">
        <f t="shared" si="54"/>
        <v/>
      </c>
      <c r="S104" s="923" t="str">
        <f t="shared" si="40"/>
        <v/>
      </c>
      <c r="T104" s="925" t="str">
        <f t="shared" si="41"/>
        <v/>
      </c>
      <c r="U104" s="545"/>
      <c r="V104" s="712"/>
      <c r="W104" s="957"/>
      <c r="X104" s="1060"/>
      <c r="Y104" s="1095" t="e">
        <f t="shared" si="42"/>
        <v>#VALUE!</v>
      </c>
      <c r="Z104" s="1094">
        <f>tab!$B$50</f>
        <v>0.6</v>
      </c>
      <c r="AA104" s="1126" t="e">
        <f t="shared" si="43"/>
        <v>#VALUE!</v>
      </c>
      <c r="AB104" s="1126" t="e">
        <f t="shared" si="44"/>
        <v>#VALUE!</v>
      </c>
      <c r="AC104" s="1126" t="e">
        <f t="shared" si="45"/>
        <v>#VALUE!</v>
      </c>
      <c r="AD104" s="1128" t="e">
        <f t="shared" si="46"/>
        <v>#VALUE!</v>
      </c>
      <c r="AE104" s="1128">
        <f t="shared" si="47"/>
        <v>0</v>
      </c>
      <c r="AF104" s="1096">
        <f>IF(H104&gt;8,tab!$B$51,tab!$B$54)</f>
        <v>0.5</v>
      </c>
      <c r="AG104" s="1097">
        <f t="shared" si="48"/>
        <v>0</v>
      </c>
      <c r="AH104" s="1093">
        <f t="shared" si="49"/>
        <v>0</v>
      </c>
      <c r="AI104" s="1120" t="e">
        <f>DATE(YEAR(tab!$D$3),MONTH(G104),DAY(G104))&gt;tab!$D$3</f>
        <v>#VALUE!</v>
      </c>
      <c r="AJ104" s="1097" t="e">
        <f t="shared" si="50"/>
        <v>#VALUE!</v>
      </c>
      <c r="AK104" s="1041">
        <f t="shared" si="51"/>
        <v>30</v>
      </c>
      <c r="AL104" s="1041">
        <f t="shared" si="52"/>
        <v>30</v>
      </c>
      <c r="AM104" s="1047">
        <f t="shared" si="53"/>
        <v>0</v>
      </c>
      <c r="AS104" s="727"/>
    </row>
    <row r="105" spans="2:45" ht="12.75" customHeight="1" x14ac:dyDescent="0.3">
      <c r="B105" s="422"/>
      <c r="C105" s="122"/>
      <c r="D105" s="388" t="str">
        <f>IF(op!D37="","",op!D37)</f>
        <v/>
      </c>
      <c r="E105" s="388" t="str">
        <f>IF(op!E37="","",op!E37)</f>
        <v/>
      </c>
      <c r="F105" s="684" t="str">
        <f>IF(op!F37="","",op!F37+1)</f>
        <v/>
      </c>
      <c r="G105" s="710" t="str">
        <f>IF(op!G37="","",op!G37)</f>
        <v/>
      </c>
      <c r="H105" s="684" t="str">
        <f>IF(op!H37=0,"",op!H37)</f>
        <v/>
      </c>
      <c r="I105" s="389" t="str">
        <f>IF(J105="","",IF(op!I37&gt;LOOKUP(H105,schaal2019,regels2019),op!I37-1,IF(op!I37=LOOKUP(H105,schaal2019,regels2019),op!I37,I37+1)))</f>
        <v/>
      </c>
      <c r="J105" s="711" t="str">
        <f>IF(op!J37="","",op!J37)</f>
        <v/>
      </c>
      <c r="K105" s="472"/>
      <c r="L105" s="1049">
        <f>IF(op!L37="",0,op!L37)</f>
        <v>0</v>
      </c>
      <c r="M105" s="1049">
        <f>IF(op!M37="",0,op!M37)</f>
        <v>0</v>
      </c>
      <c r="N105" s="1051" t="str">
        <f t="shared" si="37"/>
        <v/>
      </c>
      <c r="O105" s="1051" t="str">
        <f t="shared" si="38"/>
        <v/>
      </c>
      <c r="P105" s="1125" t="str">
        <f t="shared" si="39"/>
        <v/>
      </c>
      <c r="Q105" s="472"/>
      <c r="R105" s="923" t="str">
        <f t="shared" si="54"/>
        <v/>
      </c>
      <c r="S105" s="923" t="str">
        <f t="shared" si="40"/>
        <v/>
      </c>
      <c r="T105" s="925" t="str">
        <f t="shared" si="41"/>
        <v/>
      </c>
      <c r="U105" s="545"/>
      <c r="V105" s="712"/>
      <c r="W105" s="957"/>
      <c r="X105" s="1060"/>
      <c r="Y105" s="1095" t="e">
        <f t="shared" si="42"/>
        <v>#VALUE!</v>
      </c>
      <c r="Z105" s="1094">
        <f>tab!$B$50</f>
        <v>0.6</v>
      </c>
      <c r="AA105" s="1126" t="e">
        <f t="shared" si="43"/>
        <v>#VALUE!</v>
      </c>
      <c r="AB105" s="1126" t="e">
        <f t="shared" si="44"/>
        <v>#VALUE!</v>
      </c>
      <c r="AC105" s="1126" t="e">
        <f t="shared" si="45"/>
        <v>#VALUE!</v>
      </c>
      <c r="AD105" s="1128" t="e">
        <f t="shared" si="46"/>
        <v>#VALUE!</v>
      </c>
      <c r="AE105" s="1128">
        <f t="shared" si="47"/>
        <v>0</v>
      </c>
      <c r="AF105" s="1096">
        <f>IF(H105&gt;8,tab!$B$51,tab!$B$54)</f>
        <v>0.5</v>
      </c>
      <c r="AG105" s="1097">
        <f t="shared" si="48"/>
        <v>0</v>
      </c>
      <c r="AH105" s="1093">
        <f t="shared" si="49"/>
        <v>0</v>
      </c>
      <c r="AI105" s="1120" t="e">
        <f>DATE(YEAR(tab!$D$3),MONTH(G105),DAY(G105))&gt;tab!$D$3</f>
        <v>#VALUE!</v>
      </c>
      <c r="AJ105" s="1097" t="e">
        <f t="shared" si="50"/>
        <v>#VALUE!</v>
      </c>
      <c r="AK105" s="1041">
        <f t="shared" si="51"/>
        <v>30</v>
      </c>
      <c r="AL105" s="1041">
        <f t="shared" si="52"/>
        <v>30</v>
      </c>
      <c r="AM105" s="1047">
        <f t="shared" si="53"/>
        <v>0</v>
      </c>
      <c r="AS105" s="727"/>
    </row>
    <row r="106" spans="2:45" ht="12.75" customHeight="1" x14ac:dyDescent="0.3">
      <c r="B106" s="422"/>
      <c r="C106" s="122"/>
      <c r="D106" s="388" t="str">
        <f>IF(op!D38="","",op!D38)</f>
        <v/>
      </c>
      <c r="E106" s="388" t="str">
        <f>IF(op!E38="","",op!E38)</f>
        <v/>
      </c>
      <c r="F106" s="684" t="str">
        <f>IF(op!F38="","",op!F38+1)</f>
        <v/>
      </c>
      <c r="G106" s="710" t="str">
        <f>IF(op!G38="","",op!G38)</f>
        <v/>
      </c>
      <c r="H106" s="684" t="str">
        <f>IF(op!H38=0,"",op!H38)</f>
        <v/>
      </c>
      <c r="I106" s="389" t="str">
        <f>IF(J106="","",IF(op!I38&gt;LOOKUP(H106,schaal2019,regels2019),op!I38-1,IF(op!I38=LOOKUP(H106,schaal2019,regels2019),op!I38,I38+1)))</f>
        <v/>
      </c>
      <c r="J106" s="711" t="str">
        <f>IF(op!J38="","",op!J38)</f>
        <v/>
      </c>
      <c r="K106" s="472"/>
      <c r="L106" s="1049">
        <f>IF(op!L38="",0,op!L38)</f>
        <v>0</v>
      </c>
      <c r="M106" s="1049">
        <f>IF(op!M38="",0,op!M38)</f>
        <v>0</v>
      </c>
      <c r="N106" s="1051" t="str">
        <f t="shared" si="37"/>
        <v/>
      </c>
      <c r="O106" s="1051" t="str">
        <f t="shared" si="38"/>
        <v/>
      </c>
      <c r="P106" s="1125" t="str">
        <f t="shared" si="39"/>
        <v/>
      </c>
      <c r="Q106" s="472"/>
      <c r="R106" s="923" t="str">
        <f t="shared" si="54"/>
        <v/>
      </c>
      <c r="S106" s="923" t="str">
        <f t="shared" si="40"/>
        <v/>
      </c>
      <c r="T106" s="925" t="str">
        <f t="shared" si="41"/>
        <v/>
      </c>
      <c r="U106" s="545"/>
      <c r="V106" s="712"/>
      <c r="W106" s="957"/>
      <c r="X106" s="1060"/>
      <c r="Y106" s="1095" t="e">
        <f t="shared" si="42"/>
        <v>#VALUE!</v>
      </c>
      <c r="Z106" s="1094">
        <f>tab!$B$50</f>
        <v>0.6</v>
      </c>
      <c r="AA106" s="1126" t="e">
        <f t="shared" si="43"/>
        <v>#VALUE!</v>
      </c>
      <c r="AB106" s="1126" t="e">
        <f t="shared" si="44"/>
        <v>#VALUE!</v>
      </c>
      <c r="AC106" s="1126" t="e">
        <f t="shared" si="45"/>
        <v>#VALUE!</v>
      </c>
      <c r="AD106" s="1128" t="e">
        <f t="shared" si="46"/>
        <v>#VALUE!</v>
      </c>
      <c r="AE106" s="1128">
        <f t="shared" si="47"/>
        <v>0</v>
      </c>
      <c r="AF106" s="1096">
        <f>IF(H106&gt;8,tab!$B$51,tab!$B$54)</f>
        <v>0.5</v>
      </c>
      <c r="AG106" s="1097">
        <f t="shared" si="48"/>
        <v>0</v>
      </c>
      <c r="AH106" s="1093">
        <f t="shared" si="49"/>
        <v>0</v>
      </c>
      <c r="AI106" s="1120" t="e">
        <f>DATE(YEAR(tab!$D$3),MONTH(G106),DAY(G106))&gt;tab!$D$3</f>
        <v>#VALUE!</v>
      </c>
      <c r="AJ106" s="1097" t="e">
        <f t="shared" si="50"/>
        <v>#VALUE!</v>
      </c>
      <c r="AK106" s="1041">
        <f t="shared" si="51"/>
        <v>30</v>
      </c>
      <c r="AL106" s="1041">
        <f t="shared" si="52"/>
        <v>30</v>
      </c>
      <c r="AM106" s="1047">
        <f t="shared" si="53"/>
        <v>0</v>
      </c>
      <c r="AS106" s="727"/>
    </row>
    <row r="107" spans="2:45" ht="12.75" customHeight="1" x14ac:dyDescent="0.3">
      <c r="B107" s="422"/>
      <c r="C107" s="122"/>
      <c r="D107" s="388" t="str">
        <f>IF(op!D39="","",op!D39)</f>
        <v/>
      </c>
      <c r="E107" s="388" t="str">
        <f>IF(op!E39="","",op!E39)</f>
        <v/>
      </c>
      <c r="F107" s="684" t="str">
        <f>IF(op!F39="","",op!F39+1)</f>
        <v/>
      </c>
      <c r="G107" s="710" t="str">
        <f>IF(op!G39="","",op!G39)</f>
        <v/>
      </c>
      <c r="H107" s="684" t="str">
        <f>IF(op!H39=0,"",op!H39)</f>
        <v/>
      </c>
      <c r="I107" s="389" t="str">
        <f>IF(J107="","",IF(op!I39&gt;LOOKUP(H107,schaal2019,regels2019),op!I39-1,IF(op!I39=LOOKUP(H107,schaal2019,regels2019),op!I39,I39+1)))</f>
        <v/>
      </c>
      <c r="J107" s="711" t="str">
        <f>IF(op!J39="","",op!J39)</f>
        <v/>
      </c>
      <c r="K107" s="472"/>
      <c r="L107" s="1049">
        <f>IF(op!L39="",0,op!L39)</f>
        <v>0</v>
      </c>
      <c r="M107" s="1049">
        <f>IF(op!M39="",0,op!M39)</f>
        <v>0</v>
      </c>
      <c r="N107" s="1051" t="str">
        <f t="shared" si="37"/>
        <v/>
      </c>
      <c r="O107" s="1051" t="str">
        <f t="shared" si="38"/>
        <v/>
      </c>
      <c r="P107" s="1125" t="str">
        <f t="shared" si="39"/>
        <v/>
      </c>
      <c r="Q107" s="472"/>
      <c r="R107" s="923" t="str">
        <f t="shared" si="54"/>
        <v/>
      </c>
      <c r="S107" s="923" t="str">
        <f t="shared" si="40"/>
        <v/>
      </c>
      <c r="T107" s="925" t="str">
        <f t="shared" si="41"/>
        <v/>
      </c>
      <c r="U107" s="545"/>
      <c r="V107" s="712"/>
      <c r="W107" s="957"/>
      <c r="X107" s="1060"/>
      <c r="Y107" s="1095" t="e">
        <f t="shared" si="42"/>
        <v>#VALUE!</v>
      </c>
      <c r="Z107" s="1094">
        <f>tab!$B$50</f>
        <v>0.6</v>
      </c>
      <c r="AA107" s="1126" t="e">
        <f t="shared" si="43"/>
        <v>#VALUE!</v>
      </c>
      <c r="AB107" s="1126" t="e">
        <f t="shared" si="44"/>
        <v>#VALUE!</v>
      </c>
      <c r="AC107" s="1126" t="e">
        <f t="shared" si="45"/>
        <v>#VALUE!</v>
      </c>
      <c r="AD107" s="1128" t="e">
        <f t="shared" si="46"/>
        <v>#VALUE!</v>
      </c>
      <c r="AE107" s="1128">
        <f t="shared" si="47"/>
        <v>0</v>
      </c>
      <c r="AF107" s="1096">
        <f>IF(H107&gt;8,tab!$B$51,tab!$B$54)</f>
        <v>0.5</v>
      </c>
      <c r="AG107" s="1097">
        <f t="shared" si="48"/>
        <v>0</v>
      </c>
      <c r="AH107" s="1093">
        <f t="shared" si="49"/>
        <v>0</v>
      </c>
      <c r="AI107" s="1120" t="e">
        <f>DATE(YEAR(tab!$D$3),MONTH(G107),DAY(G107))&gt;tab!$D$3</f>
        <v>#VALUE!</v>
      </c>
      <c r="AJ107" s="1097" t="e">
        <f t="shared" si="50"/>
        <v>#VALUE!</v>
      </c>
      <c r="AK107" s="1041">
        <f t="shared" si="51"/>
        <v>30</v>
      </c>
      <c r="AL107" s="1041">
        <f t="shared" si="52"/>
        <v>30</v>
      </c>
      <c r="AM107" s="1047">
        <f t="shared" si="53"/>
        <v>0</v>
      </c>
      <c r="AS107" s="727"/>
    </row>
    <row r="108" spans="2:45" ht="12.75" customHeight="1" x14ac:dyDescent="0.3">
      <c r="B108" s="422"/>
      <c r="C108" s="122"/>
      <c r="D108" s="388" t="str">
        <f>IF(op!D40="","",op!D40)</f>
        <v/>
      </c>
      <c r="E108" s="388" t="str">
        <f>IF(op!E40="","",op!E40)</f>
        <v/>
      </c>
      <c r="F108" s="684" t="str">
        <f>IF(op!F40="","",op!F40+1)</f>
        <v/>
      </c>
      <c r="G108" s="710" t="str">
        <f>IF(op!G40="","",op!G40)</f>
        <v/>
      </c>
      <c r="H108" s="684" t="str">
        <f>IF(op!H40=0,"",op!H40)</f>
        <v/>
      </c>
      <c r="I108" s="389" t="str">
        <f>IF(J108="","",IF(op!I40&gt;LOOKUP(H108,schaal2019,regels2019),op!I40-1,IF(op!I40=LOOKUP(H108,schaal2019,regels2019),op!I40,I40+1)))</f>
        <v/>
      </c>
      <c r="J108" s="711" t="str">
        <f>IF(op!J40="","",op!J40)</f>
        <v/>
      </c>
      <c r="K108" s="472"/>
      <c r="L108" s="1049">
        <f>IF(op!L40="",0,op!L40)</f>
        <v>0</v>
      </c>
      <c r="M108" s="1049">
        <f>IF(op!M40="",0,op!M40)</f>
        <v>0</v>
      </c>
      <c r="N108" s="1051" t="str">
        <f t="shared" si="37"/>
        <v/>
      </c>
      <c r="O108" s="1051" t="str">
        <f t="shared" si="38"/>
        <v/>
      </c>
      <c r="P108" s="1125" t="str">
        <f t="shared" si="39"/>
        <v/>
      </c>
      <c r="Q108" s="472"/>
      <c r="R108" s="923" t="str">
        <f t="shared" si="54"/>
        <v/>
      </c>
      <c r="S108" s="923" t="str">
        <f t="shared" si="40"/>
        <v/>
      </c>
      <c r="T108" s="925" t="str">
        <f t="shared" si="41"/>
        <v/>
      </c>
      <c r="U108" s="545"/>
      <c r="V108" s="712"/>
      <c r="W108" s="957"/>
      <c r="X108" s="1060"/>
      <c r="Y108" s="1095" t="e">
        <f t="shared" si="42"/>
        <v>#VALUE!</v>
      </c>
      <c r="Z108" s="1094">
        <f>tab!$B$50</f>
        <v>0.6</v>
      </c>
      <c r="AA108" s="1126" t="e">
        <f t="shared" si="43"/>
        <v>#VALUE!</v>
      </c>
      <c r="AB108" s="1126" t="e">
        <f t="shared" si="44"/>
        <v>#VALUE!</v>
      </c>
      <c r="AC108" s="1126" t="e">
        <f t="shared" si="45"/>
        <v>#VALUE!</v>
      </c>
      <c r="AD108" s="1128" t="e">
        <f t="shared" si="46"/>
        <v>#VALUE!</v>
      </c>
      <c r="AE108" s="1128">
        <f t="shared" si="47"/>
        <v>0</v>
      </c>
      <c r="AF108" s="1096">
        <f>IF(H108&gt;8,tab!$B$51,tab!$B$54)</f>
        <v>0.5</v>
      </c>
      <c r="AG108" s="1097">
        <f t="shared" si="48"/>
        <v>0</v>
      </c>
      <c r="AH108" s="1093">
        <f t="shared" si="49"/>
        <v>0</v>
      </c>
      <c r="AI108" s="1120" t="e">
        <f>DATE(YEAR(tab!$D$3),MONTH(G108),DAY(G108))&gt;tab!$D$3</f>
        <v>#VALUE!</v>
      </c>
      <c r="AJ108" s="1097" t="e">
        <f t="shared" si="50"/>
        <v>#VALUE!</v>
      </c>
      <c r="AK108" s="1041">
        <f t="shared" si="51"/>
        <v>30</v>
      </c>
      <c r="AL108" s="1041">
        <f t="shared" si="52"/>
        <v>30</v>
      </c>
      <c r="AM108" s="1047">
        <f t="shared" si="53"/>
        <v>0</v>
      </c>
      <c r="AS108" s="727"/>
    </row>
    <row r="109" spans="2:45" ht="12.75" customHeight="1" x14ac:dyDescent="0.3">
      <c r="B109" s="422"/>
      <c r="C109" s="122"/>
      <c r="D109" s="388" t="str">
        <f>IF(op!D41="","",op!D41)</f>
        <v/>
      </c>
      <c r="E109" s="388" t="str">
        <f>IF(op!E41="","",op!E41)</f>
        <v/>
      </c>
      <c r="F109" s="684" t="str">
        <f>IF(op!F41="","",op!F41+1)</f>
        <v/>
      </c>
      <c r="G109" s="710" t="str">
        <f>IF(op!G41="","",op!G41)</f>
        <v/>
      </c>
      <c r="H109" s="684" t="str">
        <f>IF(op!H41=0,"",op!H41)</f>
        <v/>
      </c>
      <c r="I109" s="389" t="str">
        <f>IF(J109="","",IF(op!I41&gt;LOOKUP(H109,schaal2019,regels2019),op!I41-1,IF(op!I41=LOOKUP(H109,schaal2019,regels2019),op!I41,I41+1)))</f>
        <v/>
      </c>
      <c r="J109" s="711" t="str">
        <f>IF(op!J41="","",op!J41)</f>
        <v/>
      </c>
      <c r="K109" s="472"/>
      <c r="L109" s="1049">
        <f>IF(op!L41="",0,op!L41)</f>
        <v>0</v>
      </c>
      <c r="M109" s="1049">
        <f>IF(op!M41="",0,op!M41)</f>
        <v>0</v>
      </c>
      <c r="N109" s="1051" t="str">
        <f t="shared" si="37"/>
        <v/>
      </c>
      <c r="O109" s="1051" t="str">
        <f t="shared" si="38"/>
        <v/>
      </c>
      <c r="P109" s="1125" t="str">
        <f t="shared" si="39"/>
        <v/>
      </c>
      <c r="Q109" s="472"/>
      <c r="R109" s="923" t="str">
        <f t="shared" si="54"/>
        <v/>
      </c>
      <c r="S109" s="923" t="str">
        <f t="shared" si="40"/>
        <v/>
      </c>
      <c r="T109" s="925" t="str">
        <f t="shared" si="41"/>
        <v/>
      </c>
      <c r="U109" s="545"/>
      <c r="V109" s="712"/>
      <c r="W109" s="957"/>
      <c r="X109" s="1060"/>
      <c r="Y109" s="1095" t="e">
        <f t="shared" si="42"/>
        <v>#VALUE!</v>
      </c>
      <c r="Z109" s="1094">
        <f>tab!$B$50</f>
        <v>0.6</v>
      </c>
      <c r="AA109" s="1126" t="e">
        <f t="shared" si="43"/>
        <v>#VALUE!</v>
      </c>
      <c r="AB109" s="1126" t="e">
        <f t="shared" si="44"/>
        <v>#VALUE!</v>
      </c>
      <c r="AC109" s="1126" t="e">
        <f t="shared" si="45"/>
        <v>#VALUE!</v>
      </c>
      <c r="AD109" s="1128" t="e">
        <f t="shared" si="46"/>
        <v>#VALUE!</v>
      </c>
      <c r="AE109" s="1128">
        <f t="shared" si="47"/>
        <v>0</v>
      </c>
      <c r="AF109" s="1096">
        <f>IF(H109&gt;8,tab!$B$51,tab!$B$54)</f>
        <v>0.5</v>
      </c>
      <c r="AG109" s="1097">
        <f t="shared" si="48"/>
        <v>0</v>
      </c>
      <c r="AH109" s="1093">
        <f t="shared" si="49"/>
        <v>0</v>
      </c>
      <c r="AI109" s="1120" t="e">
        <f>DATE(YEAR(tab!$D$3),MONTH(G109),DAY(G109))&gt;tab!$D$3</f>
        <v>#VALUE!</v>
      </c>
      <c r="AJ109" s="1097" t="e">
        <f t="shared" si="50"/>
        <v>#VALUE!</v>
      </c>
      <c r="AK109" s="1041">
        <f t="shared" si="51"/>
        <v>30</v>
      </c>
      <c r="AL109" s="1041">
        <f t="shared" si="52"/>
        <v>30</v>
      </c>
      <c r="AM109" s="1047">
        <f t="shared" si="53"/>
        <v>0</v>
      </c>
      <c r="AS109" s="727"/>
    </row>
    <row r="110" spans="2:45" ht="12.75" customHeight="1" x14ac:dyDescent="0.3">
      <c r="B110" s="422"/>
      <c r="C110" s="122"/>
      <c r="D110" s="388" t="str">
        <f>IF(op!D42="","",op!D42)</f>
        <v/>
      </c>
      <c r="E110" s="388" t="str">
        <f>IF(op!E42="","",op!E42)</f>
        <v/>
      </c>
      <c r="F110" s="684" t="str">
        <f>IF(op!F42="","",op!F42+1)</f>
        <v/>
      </c>
      <c r="G110" s="710" t="str">
        <f>IF(op!G42="","",op!G42)</f>
        <v/>
      </c>
      <c r="H110" s="684" t="str">
        <f>IF(op!H42=0,"",op!H42)</f>
        <v/>
      </c>
      <c r="I110" s="389" t="str">
        <f>IF(J110="","",IF(op!I42&gt;LOOKUP(H110,schaal2019,regels2019),op!I42-1,IF(op!I42=LOOKUP(H110,schaal2019,regels2019),op!I42,I42+1)))</f>
        <v/>
      </c>
      <c r="J110" s="711" t="str">
        <f>IF(op!J42="","",op!J42)</f>
        <v/>
      </c>
      <c r="K110" s="472"/>
      <c r="L110" s="1049">
        <f>IF(op!L42="",0,op!L42)</f>
        <v>0</v>
      </c>
      <c r="M110" s="1049">
        <f>IF(op!M42="",0,op!M42)</f>
        <v>0</v>
      </c>
      <c r="N110" s="1051" t="str">
        <f t="shared" si="37"/>
        <v/>
      </c>
      <c r="O110" s="1051" t="str">
        <f t="shared" si="38"/>
        <v/>
      </c>
      <c r="P110" s="1125" t="str">
        <f t="shared" si="39"/>
        <v/>
      </c>
      <c r="Q110" s="472"/>
      <c r="R110" s="923" t="str">
        <f t="shared" si="54"/>
        <v/>
      </c>
      <c r="S110" s="923" t="str">
        <f t="shared" si="40"/>
        <v/>
      </c>
      <c r="T110" s="925" t="str">
        <f t="shared" si="41"/>
        <v/>
      </c>
      <c r="U110" s="545"/>
      <c r="V110" s="712"/>
      <c r="W110" s="957"/>
      <c r="X110" s="1060"/>
      <c r="Y110" s="1095" t="e">
        <f t="shared" si="42"/>
        <v>#VALUE!</v>
      </c>
      <c r="Z110" s="1094">
        <f>tab!$B$50</f>
        <v>0.6</v>
      </c>
      <c r="AA110" s="1126" t="e">
        <f t="shared" si="43"/>
        <v>#VALUE!</v>
      </c>
      <c r="AB110" s="1126" t="e">
        <f t="shared" si="44"/>
        <v>#VALUE!</v>
      </c>
      <c r="AC110" s="1126" t="e">
        <f t="shared" si="45"/>
        <v>#VALUE!</v>
      </c>
      <c r="AD110" s="1128" t="e">
        <f t="shared" si="46"/>
        <v>#VALUE!</v>
      </c>
      <c r="AE110" s="1128">
        <f t="shared" si="47"/>
        <v>0</v>
      </c>
      <c r="AF110" s="1096">
        <f>IF(H110&gt;8,tab!$B$51,tab!$B$54)</f>
        <v>0.5</v>
      </c>
      <c r="AG110" s="1097">
        <f t="shared" si="48"/>
        <v>0</v>
      </c>
      <c r="AH110" s="1093">
        <f t="shared" si="49"/>
        <v>0</v>
      </c>
      <c r="AI110" s="1120" t="e">
        <f>DATE(YEAR(tab!$D$3),MONTH(G110),DAY(G110))&gt;tab!$D$3</f>
        <v>#VALUE!</v>
      </c>
      <c r="AJ110" s="1097" t="e">
        <f t="shared" si="50"/>
        <v>#VALUE!</v>
      </c>
      <c r="AK110" s="1041">
        <f t="shared" si="51"/>
        <v>30</v>
      </c>
      <c r="AL110" s="1041">
        <f t="shared" si="52"/>
        <v>30</v>
      </c>
      <c r="AM110" s="1047">
        <f t="shared" si="53"/>
        <v>0</v>
      </c>
      <c r="AS110" s="727"/>
    </row>
    <row r="111" spans="2:45" ht="12.75" customHeight="1" x14ac:dyDescent="0.3">
      <c r="B111" s="422"/>
      <c r="C111" s="122"/>
      <c r="D111" s="388" t="str">
        <f>IF(op!D43="","",op!D43)</f>
        <v/>
      </c>
      <c r="E111" s="388" t="str">
        <f>IF(op!E43="","",op!E43)</f>
        <v/>
      </c>
      <c r="F111" s="684" t="str">
        <f>IF(op!F43="","",op!F43+1)</f>
        <v/>
      </c>
      <c r="G111" s="710" t="str">
        <f>IF(op!G43="","",op!G43)</f>
        <v/>
      </c>
      <c r="H111" s="684" t="str">
        <f>IF(op!H43=0,"",op!H43)</f>
        <v/>
      </c>
      <c r="I111" s="389" t="str">
        <f>IF(J111="","",IF(op!I43&gt;LOOKUP(H111,schaal2019,regels2019),op!I43-1,IF(op!I43=LOOKUP(H111,schaal2019,regels2019),op!I43,I43+1)))</f>
        <v/>
      </c>
      <c r="J111" s="711" t="str">
        <f>IF(op!J43="","",op!J43)</f>
        <v/>
      </c>
      <c r="K111" s="472"/>
      <c r="L111" s="1049">
        <f>IF(op!L43="",0,op!L43)</f>
        <v>0</v>
      </c>
      <c r="M111" s="1049">
        <f>IF(op!M43="",0,op!M43)</f>
        <v>0</v>
      </c>
      <c r="N111" s="1051" t="str">
        <f t="shared" si="37"/>
        <v/>
      </c>
      <c r="O111" s="1051" t="str">
        <f t="shared" si="38"/>
        <v/>
      </c>
      <c r="P111" s="1125" t="str">
        <f t="shared" si="39"/>
        <v/>
      </c>
      <c r="Q111" s="472"/>
      <c r="R111" s="923" t="str">
        <f t="shared" si="54"/>
        <v/>
      </c>
      <c r="S111" s="923" t="str">
        <f t="shared" si="40"/>
        <v/>
      </c>
      <c r="T111" s="925" t="str">
        <f t="shared" si="41"/>
        <v/>
      </c>
      <c r="U111" s="545"/>
      <c r="V111" s="712"/>
      <c r="W111" s="957"/>
      <c r="X111" s="1060"/>
      <c r="Y111" s="1095" t="e">
        <f t="shared" si="42"/>
        <v>#VALUE!</v>
      </c>
      <c r="Z111" s="1094">
        <f>tab!$B$50</f>
        <v>0.6</v>
      </c>
      <c r="AA111" s="1126" t="e">
        <f t="shared" si="43"/>
        <v>#VALUE!</v>
      </c>
      <c r="AB111" s="1126" t="e">
        <f t="shared" si="44"/>
        <v>#VALUE!</v>
      </c>
      <c r="AC111" s="1126" t="e">
        <f t="shared" si="45"/>
        <v>#VALUE!</v>
      </c>
      <c r="AD111" s="1128" t="e">
        <f t="shared" si="46"/>
        <v>#VALUE!</v>
      </c>
      <c r="AE111" s="1128">
        <f t="shared" si="47"/>
        <v>0</v>
      </c>
      <c r="AF111" s="1096">
        <f>IF(H111&gt;8,tab!$B$51,tab!$B$54)</f>
        <v>0.5</v>
      </c>
      <c r="AG111" s="1097">
        <f t="shared" si="48"/>
        <v>0</v>
      </c>
      <c r="AH111" s="1093">
        <f t="shared" si="49"/>
        <v>0</v>
      </c>
      <c r="AI111" s="1120" t="e">
        <f>DATE(YEAR(tab!$D$3),MONTH(G111),DAY(G111))&gt;tab!$D$3</f>
        <v>#VALUE!</v>
      </c>
      <c r="AJ111" s="1097" t="e">
        <f t="shared" si="50"/>
        <v>#VALUE!</v>
      </c>
      <c r="AK111" s="1041">
        <f t="shared" si="51"/>
        <v>30</v>
      </c>
      <c r="AL111" s="1041">
        <f t="shared" si="52"/>
        <v>30</v>
      </c>
      <c r="AM111" s="1047">
        <f t="shared" si="53"/>
        <v>0</v>
      </c>
      <c r="AS111" s="727"/>
    </row>
    <row r="112" spans="2:45" ht="12.75" customHeight="1" x14ac:dyDescent="0.3">
      <c r="B112" s="422"/>
      <c r="C112" s="122"/>
      <c r="D112" s="388" t="str">
        <f>IF(op!D44="","",op!D44)</f>
        <v/>
      </c>
      <c r="E112" s="388" t="str">
        <f>IF(op!E44="","",op!E44)</f>
        <v/>
      </c>
      <c r="F112" s="684" t="str">
        <f>IF(op!F44="","",op!F44+1)</f>
        <v/>
      </c>
      <c r="G112" s="710" t="str">
        <f>IF(op!G44="","",op!G44)</f>
        <v/>
      </c>
      <c r="H112" s="684" t="str">
        <f>IF(op!H44=0,"",op!H44)</f>
        <v/>
      </c>
      <c r="I112" s="389" t="str">
        <f>IF(J112="","",IF(op!I44&gt;LOOKUP(H112,schaal2019,regels2019),op!I44-1,IF(op!I44=LOOKUP(H112,schaal2019,regels2019),op!I44,I44+1)))</f>
        <v/>
      </c>
      <c r="J112" s="711" t="str">
        <f>IF(op!J44="","",op!J44)</f>
        <v/>
      </c>
      <c r="K112" s="472"/>
      <c r="L112" s="1049">
        <f>IF(op!L44="",0,op!L44)</f>
        <v>0</v>
      </c>
      <c r="M112" s="1049">
        <f>IF(op!M44="",0,op!M44)</f>
        <v>0</v>
      </c>
      <c r="N112" s="1051" t="str">
        <f t="shared" si="37"/>
        <v/>
      </c>
      <c r="O112" s="1051" t="str">
        <f t="shared" si="38"/>
        <v/>
      </c>
      <c r="P112" s="1125" t="str">
        <f t="shared" si="39"/>
        <v/>
      </c>
      <c r="Q112" s="472"/>
      <c r="R112" s="923" t="str">
        <f t="shared" si="54"/>
        <v/>
      </c>
      <c r="S112" s="923" t="str">
        <f t="shared" si="40"/>
        <v/>
      </c>
      <c r="T112" s="925" t="str">
        <f t="shared" si="41"/>
        <v/>
      </c>
      <c r="U112" s="545"/>
      <c r="V112" s="712"/>
      <c r="W112" s="957"/>
      <c r="X112" s="1060"/>
      <c r="Y112" s="1095" t="e">
        <f t="shared" si="42"/>
        <v>#VALUE!</v>
      </c>
      <c r="Z112" s="1094">
        <f>tab!$B$50</f>
        <v>0.6</v>
      </c>
      <c r="AA112" s="1126" t="e">
        <f t="shared" si="43"/>
        <v>#VALUE!</v>
      </c>
      <c r="AB112" s="1126" t="e">
        <f t="shared" si="44"/>
        <v>#VALUE!</v>
      </c>
      <c r="AC112" s="1126" t="e">
        <f t="shared" si="45"/>
        <v>#VALUE!</v>
      </c>
      <c r="AD112" s="1128" t="e">
        <f t="shared" si="46"/>
        <v>#VALUE!</v>
      </c>
      <c r="AE112" s="1128">
        <f t="shared" si="47"/>
        <v>0</v>
      </c>
      <c r="AF112" s="1096">
        <f>IF(H112&gt;8,tab!$B$51,tab!$B$54)</f>
        <v>0.5</v>
      </c>
      <c r="AG112" s="1097">
        <f t="shared" si="48"/>
        <v>0</v>
      </c>
      <c r="AH112" s="1093">
        <f t="shared" si="49"/>
        <v>0</v>
      </c>
      <c r="AI112" s="1120" t="e">
        <f>DATE(YEAR(tab!$D$3),MONTH(G112),DAY(G112))&gt;tab!$D$3</f>
        <v>#VALUE!</v>
      </c>
      <c r="AJ112" s="1097" t="e">
        <f t="shared" si="50"/>
        <v>#VALUE!</v>
      </c>
      <c r="AK112" s="1041">
        <f t="shared" si="51"/>
        <v>30</v>
      </c>
      <c r="AL112" s="1041">
        <f t="shared" si="52"/>
        <v>30</v>
      </c>
      <c r="AM112" s="1047">
        <f t="shared" si="53"/>
        <v>0</v>
      </c>
      <c r="AS112" s="727"/>
    </row>
    <row r="113" spans="2:45" ht="12.75" customHeight="1" x14ac:dyDescent="0.3">
      <c r="B113" s="422"/>
      <c r="C113" s="122"/>
      <c r="D113" s="388" t="str">
        <f>IF(op!D45="","",op!D45)</f>
        <v/>
      </c>
      <c r="E113" s="388" t="str">
        <f>IF(op!E45="","",op!E45)</f>
        <v/>
      </c>
      <c r="F113" s="684" t="str">
        <f>IF(op!F45="","",op!F45+1)</f>
        <v/>
      </c>
      <c r="G113" s="710" t="str">
        <f>IF(op!G45="","",op!G45)</f>
        <v/>
      </c>
      <c r="H113" s="684" t="str">
        <f>IF(op!H45=0,"",op!H45)</f>
        <v/>
      </c>
      <c r="I113" s="389" t="str">
        <f>IF(J113="","",IF(op!I45&gt;LOOKUP(H113,schaal2019,regels2019),op!I45-1,IF(op!I45=LOOKUP(H113,schaal2019,regels2019),op!I45,I45+1)))</f>
        <v/>
      </c>
      <c r="J113" s="711" t="str">
        <f>IF(op!J45="","",op!J45)</f>
        <v/>
      </c>
      <c r="K113" s="472"/>
      <c r="L113" s="1049">
        <f>IF(op!L45="",0,op!L45)</f>
        <v>0</v>
      </c>
      <c r="M113" s="1049">
        <f>IF(op!M45="",0,op!M45)</f>
        <v>0</v>
      </c>
      <c r="N113" s="1051" t="str">
        <f t="shared" si="37"/>
        <v/>
      </c>
      <c r="O113" s="1051" t="str">
        <f t="shared" si="38"/>
        <v/>
      </c>
      <c r="P113" s="1125" t="str">
        <f t="shared" si="39"/>
        <v/>
      </c>
      <c r="Q113" s="472"/>
      <c r="R113" s="923" t="str">
        <f t="shared" si="54"/>
        <v/>
      </c>
      <c r="S113" s="923" t="str">
        <f t="shared" si="40"/>
        <v/>
      </c>
      <c r="T113" s="925" t="str">
        <f t="shared" si="41"/>
        <v/>
      </c>
      <c r="U113" s="545"/>
      <c r="V113" s="712"/>
      <c r="W113" s="957"/>
      <c r="X113" s="1060"/>
      <c r="Y113" s="1095" t="e">
        <f t="shared" si="42"/>
        <v>#VALUE!</v>
      </c>
      <c r="Z113" s="1094">
        <f>tab!$B$50</f>
        <v>0.6</v>
      </c>
      <c r="AA113" s="1126" t="e">
        <f t="shared" si="43"/>
        <v>#VALUE!</v>
      </c>
      <c r="AB113" s="1126" t="e">
        <f t="shared" si="44"/>
        <v>#VALUE!</v>
      </c>
      <c r="AC113" s="1126" t="e">
        <f t="shared" si="45"/>
        <v>#VALUE!</v>
      </c>
      <c r="AD113" s="1128" t="e">
        <f t="shared" si="46"/>
        <v>#VALUE!</v>
      </c>
      <c r="AE113" s="1128">
        <f t="shared" si="47"/>
        <v>0</v>
      </c>
      <c r="AF113" s="1096">
        <f>IF(H113&gt;8,tab!$B$51,tab!$B$54)</f>
        <v>0.5</v>
      </c>
      <c r="AG113" s="1097">
        <f t="shared" si="48"/>
        <v>0</v>
      </c>
      <c r="AH113" s="1093">
        <f t="shared" si="49"/>
        <v>0</v>
      </c>
      <c r="AI113" s="1120" t="e">
        <f>DATE(YEAR(tab!$D$3),MONTH(G113),DAY(G113))&gt;tab!$D$3</f>
        <v>#VALUE!</v>
      </c>
      <c r="AJ113" s="1097" t="e">
        <f t="shared" si="50"/>
        <v>#VALUE!</v>
      </c>
      <c r="AK113" s="1041">
        <f t="shared" si="51"/>
        <v>30</v>
      </c>
      <c r="AL113" s="1041">
        <f t="shared" si="52"/>
        <v>30</v>
      </c>
      <c r="AM113" s="1047">
        <f t="shared" si="53"/>
        <v>0</v>
      </c>
      <c r="AS113" s="727"/>
    </row>
    <row r="114" spans="2:45" ht="12.75" customHeight="1" x14ac:dyDescent="0.3">
      <c r="B114" s="422"/>
      <c r="C114" s="122"/>
      <c r="D114" s="388" t="str">
        <f>IF(op!D46="","",op!D46)</f>
        <v/>
      </c>
      <c r="E114" s="388" t="str">
        <f>IF(op!E46="","",op!E46)</f>
        <v/>
      </c>
      <c r="F114" s="684" t="str">
        <f>IF(op!F46="","",op!F46+1)</f>
        <v/>
      </c>
      <c r="G114" s="710" t="str">
        <f>IF(op!G46="","",op!G46)</f>
        <v/>
      </c>
      <c r="H114" s="684" t="str">
        <f>IF(op!H46=0,"",op!H46)</f>
        <v/>
      </c>
      <c r="I114" s="389" t="str">
        <f>IF(J114="","",IF(op!I46&gt;LOOKUP(H114,schaal2019,regels2019),op!I46-1,IF(op!I46=LOOKUP(H114,schaal2019,regels2019),op!I46,I46+1)))</f>
        <v/>
      </c>
      <c r="J114" s="711" t="str">
        <f>IF(op!J46="","",op!J46)</f>
        <v/>
      </c>
      <c r="K114" s="472"/>
      <c r="L114" s="1049">
        <f>IF(op!L46="",0,op!L46)</f>
        <v>0</v>
      </c>
      <c r="M114" s="1049">
        <f>IF(op!M46="",0,op!M46)</f>
        <v>0</v>
      </c>
      <c r="N114" s="1051" t="str">
        <f t="shared" si="37"/>
        <v/>
      </c>
      <c r="O114" s="1051" t="str">
        <f t="shared" si="38"/>
        <v/>
      </c>
      <c r="P114" s="1125" t="str">
        <f t="shared" si="39"/>
        <v/>
      </c>
      <c r="Q114" s="472"/>
      <c r="R114" s="923" t="str">
        <f t="shared" si="54"/>
        <v/>
      </c>
      <c r="S114" s="923" t="str">
        <f t="shared" si="40"/>
        <v/>
      </c>
      <c r="T114" s="925" t="str">
        <f t="shared" si="41"/>
        <v/>
      </c>
      <c r="U114" s="545"/>
      <c r="V114" s="712"/>
      <c r="W114" s="957"/>
      <c r="X114" s="1060"/>
      <c r="Y114" s="1095" t="e">
        <f t="shared" si="42"/>
        <v>#VALUE!</v>
      </c>
      <c r="Z114" s="1094">
        <f>tab!$B$50</f>
        <v>0.6</v>
      </c>
      <c r="AA114" s="1126" t="e">
        <f t="shared" si="43"/>
        <v>#VALUE!</v>
      </c>
      <c r="AB114" s="1126" t="e">
        <f t="shared" si="44"/>
        <v>#VALUE!</v>
      </c>
      <c r="AC114" s="1126" t="e">
        <f t="shared" si="45"/>
        <v>#VALUE!</v>
      </c>
      <c r="AD114" s="1128" t="e">
        <f t="shared" si="46"/>
        <v>#VALUE!</v>
      </c>
      <c r="AE114" s="1128">
        <f t="shared" si="47"/>
        <v>0</v>
      </c>
      <c r="AF114" s="1096">
        <f>IF(H114&gt;8,tab!$B$51,tab!$B$54)</f>
        <v>0.5</v>
      </c>
      <c r="AG114" s="1097">
        <f t="shared" si="48"/>
        <v>0</v>
      </c>
      <c r="AH114" s="1093">
        <f t="shared" si="49"/>
        <v>0</v>
      </c>
      <c r="AI114" s="1120" t="e">
        <f>DATE(YEAR(tab!$D$3),MONTH(G114),DAY(G114))&gt;tab!$D$3</f>
        <v>#VALUE!</v>
      </c>
      <c r="AJ114" s="1097" t="e">
        <f t="shared" si="50"/>
        <v>#VALUE!</v>
      </c>
      <c r="AK114" s="1041">
        <f t="shared" si="51"/>
        <v>30</v>
      </c>
      <c r="AL114" s="1041">
        <f t="shared" si="52"/>
        <v>30</v>
      </c>
      <c r="AM114" s="1047">
        <f t="shared" si="53"/>
        <v>0</v>
      </c>
      <c r="AS114" s="727"/>
    </row>
    <row r="115" spans="2:45" ht="12.75" customHeight="1" x14ac:dyDescent="0.3">
      <c r="B115" s="422"/>
      <c r="C115" s="122"/>
      <c r="D115" s="388" t="str">
        <f>IF(op!D47="","",op!D47)</f>
        <v/>
      </c>
      <c r="E115" s="388" t="str">
        <f>IF(op!E47="","",op!E47)</f>
        <v/>
      </c>
      <c r="F115" s="684" t="str">
        <f>IF(op!F47="","",op!F47+1)</f>
        <v/>
      </c>
      <c r="G115" s="710" t="str">
        <f>IF(op!G47="","",op!G47)</f>
        <v/>
      </c>
      <c r="H115" s="684" t="str">
        <f>IF(op!H47=0,"",op!H47)</f>
        <v/>
      </c>
      <c r="I115" s="389" t="str">
        <f>IF(J115="","",IF(op!I47&gt;LOOKUP(H115,schaal2019,regels2019),op!I47-1,IF(op!I47=LOOKUP(H115,schaal2019,regels2019),op!I47,I47+1)))</f>
        <v/>
      </c>
      <c r="J115" s="711" t="str">
        <f>IF(op!J47="","",op!J47)</f>
        <v/>
      </c>
      <c r="K115" s="472"/>
      <c r="L115" s="1049">
        <f>IF(op!L47="",0,op!L47)</f>
        <v>0</v>
      </c>
      <c r="M115" s="1049">
        <f>IF(op!M47="",0,op!M47)</f>
        <v>0</v>
      </c>
      <c r="N115" s="1051" t="str">
        <f t="shared" si="37"/>
        <v/>
      </c>
      <c r="O115" s="1051" t="str">
        <f t="shared" si="38"/>
        <v/>
      </c>
      <c r="P115" s="1125" t="str">
        <f t="shared" si="39"/>
        <v/>
      </c>
      <c r="Q115" s="472"/>
      <c r="R115" s="923" t="str">
        <f t="shared" si="54"/>
        <v/>
      </c>
      <c r="S115" s="923" t="str">
        <f t="shared" si="40"/>
        <v/>
      </c>
      <c r="T115" s="925" t="str">
        <f t="shared" si="41"/>
        <v/>
      </c>
      <c r="U115" s="545"/>
      <c r="V115" s="712"/>
      <c r="W115" s="957"/>
      <c r="X115" s="1060"/>
      <c r="Y115" s="1095" t="e">
        <f t="shared" si="42"/>
        <v>#VALUE!</v>
      </c>
      <c r="Z115" s="1094">
        <f>tab!$B$50</f>
        <v>0.6</v>
      </c>
      <c r="AA115" s="1126" t="e">
        <f t="shared" si="43"/>
        <v>#VALUE!</v>
      </c>
      <c r="AB115" s="1126" t="e">
        <f t="shared" si="44"/>
        <v>#VALUE!</v>
      </c>
      <c r="AC115" s="1126" t="e">
        <f t="shared" si="45"/>
        <v>#VALUE!</v>
      </c>
      <c r="AD115" s="1128" t="e">
        <f t="shared" si="46"/>
        <v>#VALUE!</v>
      </c>
      <c r="AE115" s="1128">
        <f t="shared" si="47"/>
        <v>0</v>
      </c>
      <c r="AF115" s="1096">
        <f>IF(H115&gt;8,tab!$B$51,tab!$B$54)</f>
        <v>0.5</v>
      </c>
      <c r="AG115" s="1097">
        <f t="shared" si="48"/>
        <v>0</v>
      </c>
      <c r="AH115" s="1093">
        <f t="shared" si="49"/>
        <v>0</v>
      </c>
      <c r="AI115" s="1120" t="e">
        <f>DATE(YEAR(tab!$D$3),MONTH(G115),DAY(G115))&gt;tab!$D$3</f>
        <v>#VALUE!</v>
      </c>
      <c r="AJ115" s="1097" t="e">
        <f t="shared" si="50"/>
        <v>#VALUE!</v>
      </c>
      <c r="AK115" s="1041">
        <f t="shared" si="51"/>
        <v>30</v>
      </c>
      <c r="AL115" s="1041">
        <f t="shared" si="52"/>
        <v>30</v>
      </c>
      <c r="AM115" s="1047">
        <f t="shared" si="53"/>
        <v>0</v>
      </c>
      <c r="AS115" s="727"/>
    </row>
    <row r="116" spans="2:45" ht="12.75" customHeight="1" x14ac:dyDescent="0.3">
      <c r="B116" s="422"/>
      <c r="C116" s="122"/>
      <c r="D116" s="388" t="str">
        <f>IF(op!D48="","",op!D48)</f>
        <v/>
      </c>
      <c r="E116" s="388" t="str">
        <f>IF(op!E48="","",op!E48)</f>
        <v/>
      </c>
      <c r="F116" s="684" t="str">
        <f>IF(op!F48="","",op!F48+1)</f>
        <v/>
      </c>
      <c r="G116" s="710" t="str">
        <f>IF(op!G48="","",op!G48)</f>
        <v/>
      </c>
      <c r="H116" s="684" t="str">
        <f>IF(op!H48=0,"",op!H48)</f>
        <v/>
      </c>
      <c r="I116" s="389" t="str">
        <f>IF(J116="","",IF(op!I48&gt;LOOKUP(H116,schaal2019,regels2019),op!I48-1,IF(op!I48=LOOKUP(H116,schaal2019,regels2019),op!I48,I48+1)))</f>
        <v/>
      </c>
      <c r="J116" s="711" t="str">
        <f>IF(op!J48="","",op!J48)</f>
        <v/>
      </c>
      <c r="K116" s="472"/>
      <c r="L116" s="1049">
        <f>IF(op!L48="",0,op!L48)</f>
        <v>0</v>
      </c>
      <c r="M116" s="1049">
        <f>IF(op!M48="",0,op!M48)</f>
        <v>0</v>
      </c>
      <c r="N116" s="1051" t="str">
        <f t="shared" si="37"/>
        <v/>
      </c>
      <c r="O116" s="1051" t="str">
        <f t="shared" si="38"/>
        <v/>
      </c>
      <c r="P116" s="1125" t="str">
        <f t="shared" si="39"/>
        <v/>
      </c>
      <c r="Q116" s="472"/>
      <c r="R116" s="923" t="str">
        <f t="shared" si="54"/>
        <v/>
      </c>
      <c r="S116" s="923" t="str">
        <f t="shared" si="40"/>
        <v/>
      </c>
      <c r="T116" s="925" t="str">
        <f t="shared" si="41"/>
        <v/>
      </c>
      <c r="U116" s="545"/>
      <c r="V116" s="712"/>
      <c r="W116" s="957"/>
      <c r="X116" s="1060"/>
      <c r="Y116" s="1095" t="e">
        <f t="shared" ref="Y116:Y138" si="55">ROUND(5/12*VLOOKUP(H116,salaris2020,I116+1,FALSE)+7/12*VLOOKUP(H116,salaris2021,I116+1,FALSE),0)</f>
        <v>#VALUE!</v>
      </c>
      <c r="Z116" s="1094">
        <f>tab!$B$50</f>
        <v>0.6</v>
      </c>
      <c r="AA116" s="1126" t="e">
        <f t="shared" si="43"/>
        <v>#VALUE!</v>
      </c>
      <c r="AB116" s="1126" t="e">
        <f t="shared" si="44"/>
        <v>#VALUE!</v>
      </c>
      <c r="AC116" s="1126" t="e">
        <f t="shared" si="45"/>
        <v>#VALUE!</v>
      </c>
      <c r="AD116" s="1128" t="e">
        <f t="shared" si="46"/>
        <v>#VALUE!</v>
      </c>
      <c r="AE116" s="1128">
        <f t="shared" si="47"/>
        <v>0</v>
      </c>
      <c r="AF116" s="1096">
        <f>IF(H116&gt;8,tab!$B$51,tab!$B$54)</f>
        <v>0.5</v>
      </c>
      <c r="AG116" s="1097">
        <f t="shared" ref="AG116:AG138" si="56">IF(F116&lt;25,0,IF(F116=25,25,IF(F116&lt;40,0,IF(F116=40,40,IF(F116&gt;=40,0)))))</f>
        <v>0</v>
      </c>
      <c r="AH116" s="1093">
        <f t="shared" ref="AH116:AH138" si="57">IF(AG116=25,(Y116*1.08*(J116)/2),IF(AG116=40,(Y116*1.08*(J116)),IF(AG116=0,0)))</f>
        <v>0</v>
      </c>
      <c r="AI116" s="1120" t="e">
        <f>DATE(YEAR(tab!$D$3),MONTH(G116),DAY(G116))&gt;tab!$D$3</f>
        <v>#VALUE!</v>
      </c>
      <c r="AJ116" s="1097" t="e">
        <f t="shared" ref="AJ116:AJ138" si="58">YEAR($E$77)-YEAR(G116)-AI116</f>
        <v>#VALUE!</v>
      </c>
      <c r="AK116" s="1041">
        <f t="shared" ref="AK116:AK138" si="59">IF((G116=""),30,AJ116)</f>
        <v>30</v>
      </c>
      <c r="AL116" s="1041">
        <f t="shared" ref="AL116:AL138" si="60">IF((AK116)&gt;50,50,(AK116))</f>
        <v>30</v>
      </c>
      <c r="AM116" s="1047">
        <f t="shared" ref="AM116:AM138" si="61">(AL116*(SUM(J116:J116)))</f>
        <v>0</v>
      </c>
      <c r="AS116" s="727"/>
    </row>
    <row r="117" spans="2:45" ht="12.75" customHeight="1" x14ac:dyDescent="0.3">
      <c r="B117" s="422"/>
      <c r="C117" s="122"/>
      <c r="D117" s="388" t="str">
        <f>IF(op!D49="","",op!D49)</f>
        <v/>
      </c>
      <c r="E117" s="388" t="str">
        <f>IF(op!E49="","",op!E49)</f>
        <v/>
      </c>
      <c r="F117" s="684" t="str">
        <f>IF(op!F49="","",op!F49+1)</f>
        <v/>
      </c>
      <c r="G117" s="710" t="str">
        <f>IF(op!G49="","",op!G49)</f>
        <v/>
      </c>
      <c r="H117" s="684" t="str">
        <f>IF(op!H49=0,"",op!H49)</f>
        <v/>
      </c>
      <c r="I117" s="389" t="str">
        <f>IF(J117="","",IF(op!I49&gt;LOOKUP(H117,schaal2019,regels2019),op!I49-1,IF(op!I49=LOOKUP(H117,schaal2019,regels2019),op!I49,I49+1)))</f>
        <v/>
      </c>
      <c r="J117" s="711" t="str">
        <f>IF(op!J49="","",op!J49)</f>
        <v/>
      </c>
      <c r="K117" s="472"/>
      <c r="L117" s="1049">
        <f>IF(op!L49="",0,op!L49)</f>
        <v>0</v>
      </c>
      <c r="M117" s="1049">
        <f>IF(op!M49="",0,op!M49)</f>
        <v>0</v>
      </c>
      <c r="N117" s="1051" t="str">
        <f t="shared" si="37"/>
        <v/>
      </c>
      <c r="O117" s="1051" t="str">
        <f t="shared" si="38"/>
        <v/>
      </c>
      <c r="P117" s="1125" t="str">
        <f t="shared" si="39"/>
        <v/>
      </c>
      <c r="Q117" s="472"/>
      <c r="R117" s="923" t="str">
        <f t="shared" si="54"/>
        <v/>
      </c>
      <c r="S117" s="923" t="str">
        <f t="shared" si="40"/>
        <v/>
      </c>
      <c r="T117" s="925" t="str">
        <f t="shared" si="41"/>
        <v/>
      </c>
      <c r="U117" s="545"/>
      <c r="V117" s="712"/>
      <c r="W117" s="957"/>
      <c r="X117" s="1060"/>
      <c r="Y117" s="1095" t="e">
        <f t="shared" si="55"/>
        <v>#VALUE!</v>
      </c>
      <c r="Z117" s="1094">
        <f>tab!$B$50</f>
        <v>0.6</v>
      </c>
      <c r="AA117" s="1126" t="e">
        <f t="shared" si="43"/>
        <v>#VALUE!</v>
      </c>
      <c r="AB117" s="1126" t="e">
        <f t="shared" si="44"/>
        <v>#VALUE!</v>
      </c>
      <c r="AC117" s="1126" t="e">
        <f t="shared" si="45"/>
        <v>#VALUE!</v>
      </c>
      <c r="AD117" s="1128" t="e">
        <f t="shared" si="46"/>
        <v>#VALUE!</v>
      </c>
      <c r="AE117" s="1128">
        <f t="shared" si="47"/>
        <v>0</v>
      </c>
      <c r="AF117" s="1096">
        <f>IF(H117&gt;8,tab!$B$51,tab!$B$54)</f>
        <v>0.5</v>
      </c>
      <c r="AG117" s="1097">
        <f t="shared" si="56"/>
        <v>0</v>
      </c>
      <c r="AH117" s="1093">
        <f t="shared" si="57"/>
        <v>0</v>
      </c>
      <c r="AI117" s="1120" t="e">
        <f>DATE(YEAR(tab!$D$3),MONTH(G117),DAY(G117))&gt;tab!$D$3</f>
        <v>#VALUE!</v>
      </c>
      <c r="AJ117" s="1097" t="e">
        <f t="shared" si="58"/>
        <v>#VALUE!</v>
      </c>
      <c r="AK117" s="1041">
        <f t="shared" si="59"/>
        <v>30</v>
      </c>
      <c r="AL117" s="1041">
        <f t="shared" si="60"/>
        <v>30</v>
      </c>
      <c r="AM117" s="1047">
        <f t="shared" si="61"/>
        <v>0</v>
      </c>
      <c r="AS117" s="727"/>
    </row>
    <row r="118" spans="2:45" ht="12.75" customHeight="1" x14ac:dyDescent="0.3">
      <c r="B118" s="422"/>
      <c r="C118" s="122"/>
      <c r="D118" s="388" t="str">
        <f>IF(op!D50="","",op!D50)</f>
        <v/>
      </c>
      <c r="E118" s="388" t="str">
        <f>IF(op!E50="","",op!E50)</f>
        <v/>
      </c>
      <c r="F118" s="684" t="str">
        <f>IF(op!F50="","",op!F50+1)</f>
        <v/>
      </c>
      <c r="G118" s="710" t="str">
        <f>IF(op!G50="","",op!G50)</f>
        <v/>
      </c>
      <c r="H118" s="684" t="str">
        <f>IF(op!H50=0,"",op!H50)</f>
        <v/>
      </c>
      <c r="I118" s="389" t="str">
        <f>IF(J118="","",IF(op!I50&gt;LOOKUP(H118,schaal2019,regels2019),op!I50-1,IF(op!I50=LOOKUP(H118,schaal2019,regels2019),op!I50,I50+1)))</f>
        <v/>
      </c>
      <c r="J118" s="711" t="str">
        <f>IF(op!J50="","",op!J50)</f>
        <v/>
      </c>
      <c r="K118" s="472"/>
      <c r="L118" s="1049">
        <f>IF(op!L50="",0,op!L50)</f>
        <v>0</v>
      </c>
      <c r="M118" s="1049">
        <f>IF(op!M50="",0,op!M50)</f>
        <v>0</v>
      </c>
      <c r="N118" s="1051" t="str">
        <f t="shared" si="37"/>
        <v/>
      </c>
      <c r="O118" s="1051" t="str">
        <f t="shared" si="38"/>
        <v/>
      </c>
      <c r="P118" s="1125" t="str">
        <f t="shared" si="39"/>
        <v/>
      </c>
      <c r="Q118" s="472"/>
      <c r="R118" s="923" t="str">
        <f t="shared" si="54"/>
        <v/>
      </c>
      <c r="S118" s="923" t="str">
        <f t="shared" si="40"/>
        <v/>
      </c>
      <c r="T118" s="925" t="str">
        <f t="shared" si="41"/>
        <v/>
      </c>
      <c r="U118" s="545"/>
      <c r="V118" s="712"/>
      <c r="W118" s="957"/>
      <c r="X118" s="1060"/>
      <c r="Y118" s="1095" t="e">
        <f t="shared" si="55"/>
        <v>#VALUE!</v>
      </c>
      <c r="Z118" s="1094">
        <f>tab!$B$50</f>
        <v>0.6</v>
      </c>
      <c r="AA118" s="1126" t="e">
        <f t="shared" si="43"/>
        <v>#VALUE!</v>
      </c>
      <c r="AB118" s="1126" t="e">
        <f t="shared" si="44"/>
        <v>#VALUE!</v>
      </c>
      <c r="AC118" s="1126" t="e">
        <f t="shared" si="45"/>
        <v>#VALUE!</v>
      </c>
      <c r="AD118" s="1128" t="e">
        <f t="shared" si="46"/>
        <v>#VALUE!</v>
      </c>
      <c r="AE118" s="1128">
        <f t="shared" si="47"/>
        <v>0</v>
      </c>
      <c r="AF118" s="1096">
        <f>IF(H118&gt;8,tab!$B$51,tab!$B$54)</f>
        <v>0.5</v>
      </c>
      <c r="AG118" s="1097">
        <f t="shared" si="56"/>
        <v>0</v>
      </c>
      <c r="AH118" s="1093">
        <f t="shared" si="57"/>
        <v>0</v>
      </c>
      <c r="AI118" s="1120" t="e">
        <f>DATE(YEAR(tab!$D$3),MONTH(G118),DAY(G118))&gt;tab!$D$3</f>
        <v>#VALUE!</v>
      </c>
      <c r="AJ118" s="1097" t="e">
        <f t="shared" si="58"/>
        <v>#VALUE!</v>
      </c>
      <c r="AK118" s="1041">
        <f t="shared" si="59"/>
        <v>30</v>
      </c>
      <c r="AL118" s="1041">
        <f t="shared" si="60"/>
        <v>30</v>
      </c>
      <c r="AM118" s="1047">
        <f t="shared" si="61"/>
        <v>0</v>
      </c>
      <c r="AS118" s="727"/>
    </row>
    <row r="119" spans="2:45" ht="12.75" customHeight="1" x14ac:dyDescent="0.3">
      <c r="B119" s="422"/>
      <c r="C119" s="122"/>
      <c r="D119" s="388" t="str">
        <f>IF(op!D51="","",op!D51)</f>
        <v/>
      </c>
      <c r="E119" s="388" t="str">
        <f>IF(op!E51="","",op!E51)</f>
        <v/>
      </c>
      <c r="F119" s="684" t="str">
        <f>IF(op!F51="","",op!F51+1)</f>
        <v/>
      </c>
      <c r="G119" s="710" t="str">
        <f>IF(op!G51="","",op!G51)</f>
        <v/>
      </c>
      <c r="H119" s="684" t="str">
        <f>IF(op!H51=0,"",op!H51)</f>
        <v/>
      </c>
      <c r="I119" s="389" t="str">
        <f>IF(J119="","",IF(op!I51&gt;LOOKUP(H119,schaal2019,regels2019),op!I51-1,IF(op!I51=LOOKUP(H119,schaal2019,regels2019),op!I51,I51+1)))</f>
        <v/>
      </c>
      <c r="J119" s="711" t="str">
        <f>IF(op!J51="","",op!J51)</f>
        <v/>
      </c>
      <c r="K119" s="472"/>
      <c r="L119" s="1049">
        <f>IF(op!L51="",0,op!L51)</f>
        <v>0</v>
      </c>
      <c r="M119" s="1049">
        <f>IF(op!M51="",0,op!M51)</f>
        <v>0</v>
      </c>
      <c r="N119" s="1051" t="str">
        <f t="shared" si="37"/>
        <v/>
      </c>
      <c r="O119" s="1051" t="str">
        <f t="shared" si="38"/>
        <v/>
      </c>
      <c r="P119" s="1125" t="str">
        <f t="shared" si="39"/>
        <v/>
      </c>
      <c r="Q119" s="472"/>
      <c r="R119" s="923" t="str">
        <f t="shared" si="54"/>
        <v/>
      </c>
      <c r="S119" s="923" t="str">
        <f t="shared" si="40"/>
        <v/>
      </c>
      <c r="T119" s="925" t="str">
        <f t="shared" si="41"/>
        <v/>
      </c>
      <c r="U119" s="545"/>
      <c r="V119" s="712"/>
      <c r="W119" s="957"/>
      <c r="X119" s="1060"/>
      <c r="Y119" s="1095" t="e">
        <f t="shared" si="55"/>
        <v>#VALUE!</v>
      </c>
      <c r="Z119" s="1094">
        <f>tab!$B$50</f>
        <v>0.6</v>
      </c>
      <c r="AA119" s="1126" t="e">
        <f t="shared" si="43"/>
        <v>#VALUE!</v>
      </c>
      <c r="AB119" s="1126" t="e">
        <f t="shared" si="44"/>
        <v>#VALUE!</v>
      </c>
      <c r="AC119" s="1126" t="e">
        <f t="shared" si="45"/>
        <v>#VALUE!</v>
      </c>
      <c r="AD119" s="1128" t="e">
        <f t="shared" si="46"/>
        <v>#VALUE!</v>
      </c>
      <c r="AE119" s="1128">
        <f t="shared" si="47"/>
        <v>0</v>
      </c>
      <c r="AF119" s="1096">
        <f>IF(H119&gt;8,tab!$B$51,tab!$B$54)</f>
        <v>0.5</v>
      </c>
      <c r="AG119" s="1097">
        <f t="shared" si="56"/>
        <v>0</v>
      </c>
      <c r="AH119" s="1093">
        <f t="shared" si="57"/>
        <v>0</v>
      </c>
      <c r="AI119" s="1120" t="e">
        <f>DATE(YEAR(tab!$D$3),MONTH(G119),DAY(G119))&gt;tab!$D$3</f>
        <v>#VALUE!</v>
      </c>
      <c r="AJ119" s="1097" t="e">
        <f t="shared" si="58"/>
        <v>#VALUE!</v>
      </c>
      <c r="AK119" s="1041">
        <f t="shared" si="59"/>
        <v>30</v>
      </c>
      <c r="AL119" s="1041">
        <f t="shared" si="60"/>
        <v>30</v>
      </c>
      <c r="AM119" s="1047">
        <f t="shared" si="61"/>
        <v>0</v>
      </c>
      <c r="AS119" s="727"/>
    </row>
    <row r="120" spans="2:45" ht="12.75" customHeight="1" x14ac:dyDescent="0.3">
      <c r="B120" s="422"/>
      <c r="C120" s="122"/>
      <c r="D120" s="388" t="str">
        <f>IF(op!D52="","",op!D52)</f>
        <v/>
      </c>
      <c r="E120" s="388" t="str">
        <f>IF(op!E52="","",op!E52)</f>
        <v/>
      </c>
      <c r="F120" s="684" t="str">
        <f>IF(op!F52="","",op!F52+1)</f>
        <v/>
      </c>
      <c r="G120" s="710" t="str">
        <f>IF(op!G52="","",op!G52)</f>
        <v/>
      </c>
      <c r="H120" s="684" t="str">
        <f>IF(op!H52=0,"",op!H52)</f>
        <v/>
      </c>
      <c r="I120" s="389" t="str">
        <f>IF(J120="","",IF(op!I52&gt;LOOKUP(H120,schaal2019,regels2019),op!I52-1,IF(op!I52=LOOKUP(H120,schaal2019,regels2019),op!I52,I52+1)))</f>
        <v/>
      </c>
      <c r="J120" s="711" t="str">
        <f>IF(op!J52="","",op!J52)</f>
        <v/>
      </c>
      <c r="K120" s="472"/>
      <c r="L120" s="1049">
        <f>IF(op!L52="",0,op!L52)</f>
        <v>0</v>
      </c>
      <c r="M120" s="1049">
        <f>IF(op!M52="",0,op!M52)</f>
        <v>0</v>
      </c>
      <c r="N120" s="1051" t="str">
        <f t="shared" si="37"/>
        <v/>
      </c>
      <c r="O120" s="1051" t="str">
        <f t="shared" si="38"/>
        <v/>
      </c>
      <c r="P120" s="1125" t="str">
        <f t="shared" si="39"/>
        <v/>
      </c>
      <c r="Q120" s="472"/>
      <c r="R120" s="923" t="str">
        <f t="shared" si="54"/>
        <v/>
      </c>
      <c r="S120" s="923" t="str">
        <f t="shared" si="40"/>
        <v/>
      </c>
      <c r="T120" s="925" t="str">
        <f t="shared" si="41"/>
        <v/>
      </c>
      <c r="U120" s="545"/>
      <c r="V120" s="712"/>
      <c r="W120" s="957"/>
      <c r="X120" s="1060"/>
      <c r="Y120" s="1095" t="e">
        <f t="shared" si="55"/>
        <v>#VALUE!</v>
      </c>
      <c r="Z120" s="1094">
        <f>tab!$B$50</f>
        <v>0.6</v>
      </c>
      <c r="AA120" s="1126" t="e">
        <f t="shared" si="43"/>
        <v>#VALUE!</v>
      </c>
      <c r="AB120" s="1126" t="e">
        <f t="shared" si="44"/>
        <v>#VALUE!</v>
      </c>
      <c r="AC120" s="1126" t="e">
        <f t="shared" si="45"/>
        <v>#VALUE!</v>
      </c>
      <c r="AD120" s="1128" t="e">
        <f t="shared" si="46"/>
        <v>#VALUE!</v>
      </c>
      <c r="AE120" s="1128">
        <f t="shared" si="47"/>
        <v>0</v>
      </c>
      <c r="AF120" s="1096">
        <f>IF(H120&gt;8,tab!$B$51,tab!$B$54)</f>
        <v>0.5</v>
      </c>
      <c r="AG120" s="1097">
        <f t="shared" si="56"/>
        <v>0</v>
      </c>
      <c r="AH120" s="1093">
        <f t="shared" si="57"/>
        <v>0</v>
      </c>
      <c r="AI120" s="1120" t="e">
        <f>DATE(YEAR(tab!$D$3),MONTH(G120),DAY(G120))&gt;tab!$D$3</f>
        <v>#VALUE!</v>
      </c>
      <c r="AJ120" s="1097" t="e">
        <f t="shared" si="58"/>
        <v>#VALUE!</v>
      </c>
      <c r="AK120" s="1041">
        <f t="shared" si="59"/>
        <v>30</v>
      </c>
      <c r="AL120" s="1041">
        <f t="shared" si="60"/>
        <v>30</v>
      </c>
      <c r="AM120" s="1047">
        <f t="shared" si="61"/>
        <v>0</v>
      </c>
      <c r="AS120" s="727"/>
    </row>
    <row r="121" spans="2:45" ht="12.75" customHeight="1" x14ac:dyDescent="0.3">
      <c r="B121" s="422"/>
      <c r="C121" s="122"/>
      <c r="D121" s="388" t="str">
        <f>IF(op!D53="","",op!D53)</f>
        <v/>
      </c>
      <c r="E121" s="388" t="str">
        <f>IF(op!E53="","",op!E53)</f>
        <v/>
      </c>
      <c r="F121" s="684" t="str">
        <f>IF(op!F53="","",op!F53+1)</f>
        <v/>
      </c>
      <c r="G121" s="710" t="str">
        <f>IF(op!G53="","",op!G53)</f>
        <v/>
      </c>
      <c r="H121" s="684" t="str">
        <f>IF(op!H53=0,"",op!H53)</f>
        <v/>
      </c>
      <c r="I121" s="389" t="str">
        <f>IF(J121="","",IF(op!I53&gt;LOOKUP(H121,schaal2019,regels2019),op!I53-1,IF(op!I53=LOOKUP(H121,schaal2019,regels2019),op!I53,I53+1)))</f>
        <v/>
      </c>
      <c r="J121" s="711" t="str">
        <f>IF(op!J53="","",op!J53)</f>
        <v/>
      </c>
      <c r="K121" s="472"/>
      <c r="L121" s="1049">
        <f>IF(op!L53="",0,op!L53)</f>
        <v>0</v>
      </c>
      <c r="M121" s="1049">
        <f>IF(op!M53="",0,op!M53)</f>
        <v>0</v>
      </c>
      <c r="N121" s="1051" t="str">
        <f t="shared" si="37"/>
        <v/>
      </c>
      <c r="O121" s="1051" t="str">
        <f t="shared" si="38"/>
        <v/>
      </c>
      <c r="P121" s="1125" t="str">
        <f t="shared" si="39"/>
        <v/>
      </c>
      <c r="Q121" s="472"/>
      <c r="R121" s="923" t="str">
        <f t="shared" si="54"/>
        <v/>
      </c>
      <c r="S121" s="923" t="str">
        <f t="shared" si="40"/>
        <v/>
      </c>
      <c r="T121" s="925" t="str">
        <f t="shared" si="41"/>
        <v/>
      </c>
      <c r="U121" s="545"/>
      <c r="V121" s="712"/>
      <c r="W121" s="957"/>
      <c r="X121" s="1060"/>
      <c r="Y121" s="1095" t="e">
        <f t="shared" si="55"/>
        <v>#VALUE!</v>
      </c>
      <c r="Z121" s="1094">
        <f>tab!$B$50</f>
        <v>0.6</v>
      </c>
      <c r="AA121" s="1126" t="e">
        <f t="shared" si="43"/>
        <v>#VALUE!</v>
      </c>
      <c r="AB121" s="1126" t="e">
        <f t="shared" si="44"/>
        <v>#VALUE!</v>
      </c>
      <c r="AC121" s="1126" t="e">
        <f t="shared" si="45"/>
        <v>#VALUE!</v>
      </c>
      <c r="AD121" s="1128" t="e">
        <f t="shared" si="46"/>
        <v>#VALUE!</v>
      </c>
      <c r="AE121" s="1128">
        <f t="shared" si="47"/>
        <v>0</v>
      </c>
      <c r="AF121" s="1096">
        <f>IF(H121&gt;8,tab!$B$51,tab!$B$54)</f>
        <v>0.5</v>
      </c>
      <c r="AG121" s="1097">
        <f t="shared" si="56"/>
        <v>0</v>
      </c>
      <c r="AH121" s="1093">
        <f t="shared" si="57"/>
        <v>0</v>
      </c>
      <c r="AI121" s="1120" t="e">
        <f>DATE(YEAR(tab!$D$3),MONTH(G121),DAY(G121))&gt;tab!$D$3</f>
        <v>#VALUE!</v>
      </c>
      <c r="AJ121" s="1097" t="e">
        <f t="shared" si="58"/>
        <v>#VALUE!</v>
      </c>
      <c r="AK121" s="1041">
        <f t="shared" si="59"/>
        <v>30</v>
      </c>
      <c r="AL121" s="1041">
        <f t="shared" si="60"/>
        <v>30</v>
      </c>
      <c r="AM121" s="1047">
        <f t="shared" si="61"/>
        <v>0</v>
      </c>
      <c r="AS121" s="727"/>
    </row>
    <row r="122" spans="2:45" ht="12.75" customHeight="1" x14ac:dyDescent="0.3">
      <c r="B122" s="422"/>
      <c r="C122" s="122"/>
      <c r="D122" s="388" t="str">
        <f>IF(op!D54="","",op!D54)</f>
        <v/>
      </c>
      <c r="E122" s="388" t="str">
        <f>IF(op!E54="","",op!E54)</f>
        <v/>
      </c>
      <c r="F122" s="684" t="str">
        <f>IF(op!F54="","",op!F54+1)</f>
        <v/>
      </c>
      <c r="G122" s="710" t="str">
        <f>IF(op!G54="","",op!G54)</f>
        <v/>
      </c>
      <c r="H122" s="684" t="str">
        <f>IF(op!H54=0,"",op!H54)</f>
        <v/>
      </c>
      <c r="I122" s="389" t="str">
        <f>IF(J122="","",IF(op!I54&gt;LOOKUP(H122,schaal2019,regels2019),op!I54-1,IF(op!I54=LOOKUP(H122,schaal2019,regels2019),op!I54,I54+1)))</f>
        <v/>
      </c>
      <c r="J122" s="711" t="str">
        <f>IF(op!J54="","",op!J54)</f>
        <v/>
      </c>
      <c r="K122" s="472"/>
      <c r="L122" s="1049">
        <f>IF(op!L54="",0,op!L54)</f>
        <v>0</v>
      </c>
      <c r="M122" s="1049">
        <f>IF(op!M54="",0,op!M54)</f>
        <v>0</v>
      </c>
      <c r="N122" s="1051" t="str">
        <f t="shared" si="37"/>
        <v/>
      </c>
      <c r="O122" s="1051" t="str">
        <f t="shared" si="38"/>
        <v/>
      </c>
      <c r="P122" s="1125" t="str">
        <f t="shared" si="39"/>
        <v/>
      </c>
      <c r="Q122" s="472"/>
      <c r="R122" s="923" t="str">
        <f t="shared" si="54"/>
        <v/>
      </c>
      <c r="S122" s="923" t="str">
        <f t="shared" si="40"/>
        <v/>
      </c>
      <c r="T122" s="925" t="str">
        <f t="shared" si="41"/>
        <v/>
      </c>
      <c r="U122" s="545"/>
      <c r="V122" s="712"/>
      <c r="W122" s="957"/>
      <c r="X122" s="1060"/>
      <c r="Y122" s="1095" t="e">
        <f t="shared" si="55"/>
        <v>#VALUE!</v>
      </c>
      <c r="Z122" s="1094">
        <f>tab!$B$50</f>
        <v>0.6</v>
      </c>
      <c r="AA122" s="1126" t="e">
        <f t="shared" si="43"/>
        <v>#VALUE!</v>
      </c>
      <c r="AB122" s="1126" t="e">
        <f t="shared" si="44"/>
        <v>#VALUE!</v>
      </c>
      <c r="AC122" s="1126" t="e">
        <f t="shared" si="45"/>
        <v>#VALUE!</v>
      </c>
      <c r="AD122" s="1128" t="e">
        <f t="shared" si="46"/>
        <v>#VALUE!</v>
      </c>
      <c r="AE122" s="1128">
        <f t="shared" si="47"/>
        <v>0</v>
      </c>
      <c r="AF122" s="1096">
        <f>IF(H122&gt;8,tab!$B$51,tab!$B$54)</f>
        <v>0.5</v>
      </c>
      <c r="AG122" s="1097">
        <f t="shared" si="56"/>
        <v>0</v>
      </c>
      <c r="AH122" s="1093">
        <f t="shared" si="57"/>
        <v>0</v>
      </c>
      <c r="AI122" s="1120" t="e">
        <f>DATE(YEAR(tab!$D$3),MONTH(G122),DAY(G122))&gt;tab!$D$3</f>
        <v>#VALUE!</v>
      </c>
      <c r="AJ122" s="1097" t="e">
        <f t="shared" si="58"/>
        <v>#VALUE!</v>
      </c>
      <c r="AK122" s="1041">
        <f t="shared" si="59"/>
        <v>30</v>
      </c>
      <c r="AL122" s="1041">
        <f t="shared" si="60"/>
        <v>30</v>
      </c>
      <c r="AM122" s="1047">
        <f t="shared" si="61"/>
        <v>0</v>
      </c>
      <c r="AS122" s="727"/>
    </row>
    <row r="123" spans="2:45" ht="12.75" customHeight="1" x14ac:dyDescent="0.3">
      <c r="B123" s="422"/>
      <c r="C123" s="122"/>
      <c r="D123" s="388" t="str">
        <f>IF(op!D55="","",op!D55)</f>
        <v/>
      </c>
      <c r="E123" s="388" t="str">
        <f>IF(op!E55="","",op!E55)</f>
        <v/>
      </c>
      <c r="F123" s="684" t="str">
        <f>IF(op!F55="","",op!F55+1)</f>
        <v/>
      </c>
      <c r="G123" s="710" t="str">
        <f>IF(op!G55="","",op!G55)</f>
        <v/>
      </c>
      <c r="H123" s="684" t="str">
        <f>IF(op!H55=0,"",op!H55)</f>
        <v/>
      </c>
      <c r="I123" s="389" t="str">
        <f>IF(J123="","",IF(op!I55&gt;LOOKUP(H123,schaal2019,regels2019),op!I55-1,IF(op!I55=LOOKUP(H123,schaal2019,regels2019),op!I55,I55+1)))</f>
        <v/>
      </c>
      <c r="J123" s="711" t="str">
        <f>IF(op!J55="","",op!J55)</f>
        <v/>
      </c>
      <c r="K123" s="472"/>
      <c r="L123" s="1049">
        <f>IF(op!L55="",0,op!L55)</f>
        <v>0</v>
      </c>
      <c r="M123" s="1049">
        <f>IF(op!M55="",0,op!M55)</f>
        <v>0</v>
      </c>
      <c r="N123" s="1051" t="str">
        <f t="shared" si="37"/>
        <v/>
      </c>
      <c r="O123" s="1051" t="str">
        <f t="shared" si="38"/>
        <v/>
      </c>
      <c r="P123" s="1125" t="str">
        <f t="shared" si="39"/>
        <v/>
      </c>
      <c r="Q123" s="472"/>
      <c r="R123" s="923" t="str">
        <f t="shared" si="54"/>
        <v/>
      </c>
      <c r="S123" s="923" t="str">
        <f t="shared" si="40"/>
        <v/>
      </c>
      <c r="T123" s="925" t="str">
        <f t="shared" si="41"/>
        <v/>
      </c>
      <c r="U123" s="545"/>
      <c r="V123" s="712"/>
      <c r="W123" s="957"/>
      <c r="X123" s="1060"/>
      <c r="Y123" s="1095" t="e">
        <f t="shared" si="55"/>
        <v>#VALUE!</v>
      </c>
      <c r="Z123" s="1094">
        <f>tab!$B$50</f>
        <v>0.6</v>
      </c>
      <c r="AA123" s="1126" t="e">
        <f t="shared" si="43"/>
        <v>#VALUE!</v>
      </c>
      <c r="AB123" s="1126" t="e">
        <f t="shared" si="44"/>
        <v>#VALUE!</v>
      </c>
      <c r="AC123" s="1126" t="e">
        <f t="shared" si="45"/>
        <v>#VALUE!</v>
      </c>
      <c r="AD123" s="1128" t="e">
        <f t="shared" si="46"/>
        <v>#VALUE!</v>
      </c>
      <c r="AE123" s="1128">
        <f t="shared" si="47"/>
        <v>0</v>
      </c>
      <c r="AF123" s="1096">
        <f>IF(H123&gt;8,tab!$B$51,tab!$B$54)</f>
        <v>0.5</v>
      </c>
      <c r="AG123" s="1097">
        <f t="shared" si="56"/>
        <v>0</v>
      </c>
      <c r="AH123" s="1093">
        <f t="shared" si="57"/>
        <v>0</v>
      </c>
      <c r="AI123" s="1120" t="e">
        <f>DATE(YEAR(tab!$D$3),MONTH(G123),DAY(G123))&gt;tab!$D$3</f>
        <v>#VALUE!</v>
      </c>
      <c r="AJ123" s="1097" t="e">
        <f t="shared" si="58"/>
        <v>#VALUE!</v>
      </c>
      <c r="AK123" s="1041">
        <f t="shared" si="59"/>
        <v>30</v>
      </c>
      <c r="AL123" s="1041">
        <f t="shared" si="60"/>
        <v>30</v>
      </c>
      <c r="AM123" s="1047">
        <f t="shared" si="61"/>
        <v>0</v>
      </c>
      <c r="AS123" s="727"/>
    </row>
    <row r="124" spans="2:45" ht="12.75" customHeight="1" x14ac:dyDescent="0.3">
      <c r="B124" s="422"/>
      <c r="C124" s="122"/>
      <c r="D124" s="388" t="str">
        <f>IF(op!D56="","",op!D56)</f>
        <v/>
      </c>
      <c r="E124" s="388" t="str">
        <f>IF(op!E56="","",op!E56)</f>
        <v/>
      </c>
      <c r="F124" s="684" t="str">
        <f>IF(op!F56="","",op!F56+1)</f>
        <v/>
      </c>
      <c r="G124" s="710" t="str">
        <f>IF(op!G56="","",op!G56)</f>
        <v/>
      </c>
      <c r="H124" s="684" t="str">
        <f>IF(op!H56=0,"",op!H56)</f>
        <v/>
      </c>
      <c r="I124" s="389" t="str">
        <f>IF(J124="","",IF(op!I56&gt;LOOKUP(H124,schaal2019,regels2019),op!I56-1,IF(op!I56=LOOKUP(H124,schaal2019,regels2019),op!I56,I56+1)))</f>
        <v/>
      </c>
      <c r="J124" s="711" t="str">
        <f>IF(op!J56="","",op!J56)</f>
        <v/>
      </c>
      <c r="K124" s="472"/>
      <c r="L124" s="1049">
        <f>IF(op!L56="",0,op!L56)</f>
        <v>0</v>
      </c>
      <c r="M124" s="1049">
        <f>IF(op!M56="",0,op!M56)</f>
        <v>0</v>
      </c>
      <c r="N124" s="1051" t="str">
        <f t="shared" si="37"/>
        <v/>
      </c>
      <c r="O124" s="1051" t="str">
        <f t="shared" si="38"/>
        <v/>
      </c>
      <c r="P124" s="1125" t="str">
        <f t="shared" si="39"/>
        <v/>
      </c>
      <c r="Q124" s="472"/>
      <c r="R124" s="923" t="str">
        <f t="shared" si="54"/>
        <v/>
      </c>
      <c r="S124" s="923" t="str">
        <f t="shared" si="40"/>
        <v/>
      </c>
      <c r="T124" s="925" t="str">
        <f t="shared" si="41"/>
        <v/>
      </c>
      <c r="U124" s="545"/>
      <c r="V124" s="712"/>
      <c r="W124" s="957"/>
      <c r="X124" s="1060"/>
      <c r="Y124" s="1095" t="e">
        <f t="shared" si="55"/>
        <v>#VALUE!</v>
      </c>
      <c r="Z124" s="1094">
        <f>tab!$B$50</f>
        <v>0.6</v>
      </c>
      <c r="AA124" s="1126" t="e">
        <f t="shared" si="43"/>
        <v>#VALUE!</v>
      </c>
      <c r="AB124" s="1126" t="e">
        <f t="shared" si="44"/>
        <v>#VALUE!</v>
      </c>
      <c r="AC124" s="1126" t="e">
        <f t="shared" si="45"/>
        <v>#VALUE!</v>
      </c>
      <c r="AD124" s="1128" t="e">
        <f t="shared" si="46"/>
        <v>#VALUE!</v>
      </c>
      <c r="AE124" s="1128">
        <f t="shared" si="47"/>
        <v>0</v>
      </c>
      <c r="AF124" s="1096">
        <f>IF(H124&gt;8,tab!$B$51,tab!$B$54)</f>
        <v>0.5</v>
      </c>
      <c r="AG124" s="1097">
        <f t="shared" si="56"/>
        <v>0</v>
      </c>
      <c r="AH124" s="1093">
        <f t="shared" si="57"/>
        <v>0</v>
      </c>
      <c r="AI124" s="1120" t="e">
        <f>DATE(YEAR(tab!$D$3),MONTH(G124),DAY(G124))&gt;tab!$D$3</f>
        <v>#VALUE!</v>
      </c>
      <c r="AJ124" s="1097" t="e">
        <f t="shared" si="58"/>
        <v>#VALUE!</v>
      </c>
      <c r="AK124" s="1041">
        <f t="shared" si="59"/>
        <v>30</v>
      </c>
      <c r="AL124" s="1041">
        <f t="shared" si="60"/>
        <v>30</v>
      </c>
      <c r="AM124" s="1047">
        <f t="shared" si="61"/>
        <v>0</v>
      </c>
      <c r="AS124" s="727"/>
    </row>
    <row r="125" spans="2:45" ht="12.75" customHeight="1" x14ac:dyDescent="0.3">
      <c r="B125" s="422"/>
      <c r="C125" s="122"/>
      <c r="D125" s="388" t="str">
        <f>IF(op!D57="","",op!D57)</f>
        <v/>
      </c>
      <c r="E125" s="388" t="str">
        <f>IF(op!E57="","",op!E57)</f>
        <v/>
      </c>
      <c r="F125" s="684" t="str">
        <f>IF(op!F57="","",op!F57+1)</f>
        <v/>
      </c>
      <c r="G125" s="710" t="str">
        <f>IF(op!G57="","",op!G57)</f>
        <v/>
      </c>
      <c r="H125" s="684" t="str">
        <f>IF(op!H57=0,"",op!H57)</f>
        <v/>
      </c>
      <c r="I125" s="389" t="str">
        <f>IF(J125="","",IF(op!I57&gt;LOOKUP(H125,schaal2019,regels2019),op!I57-1,IF(op!I57=LOOKUP(H125,schaal2019,regels2019),op!I57,I57+1)))</f>
        <v/>
      </c>
      <c r="J125" s="711" t="str">
        <f>IF(op!J57="","",op!J57)</f>
        <v/>
      </c>
      <c r="K125" s="472"/>
      <c r="L125" s="1049">
        <f>IF(op!L57="",0,op!L57)</f>
        <v>0</v>
      </c>
      <c r="M125" s="1049">
        <f>IF(op!M57="",0,op!M57)</f>
        <v>0</v>
      </c>
      <c r="N125" s="1051" t="str">
        <f t="shared" si="37"/>
        <v/>
      </c>
      <c r="O125" s="1051" t="str">
        <f t="shared" si="38"/>
        <v/>
      </c>
      <c r="P125" s="1125" t="str">
        <f t="shared" si="39"/>
        <v/>
      </c>
      <c r="Q125" s="472"/>
      <c r="R125" s="923" t="str">
        <f t="shared" si="54"/>
        <v/>
      </c>
      <c r="S125" s="923" t="str">
        <f t="shared" si="40"/>
        <v/>
      </c>
      <c r="T125" s="925" t="str">
        <f t="shared" si="41"/>
        <v/>
      </c>
      <c r="U125" s="545"/>
      <c r="V125" s="712"/>
      <c r="W125" s="957"/>
      <c r="X125" s="1060"/>
      <c r="Y125" s="1095" t="e">
        <f t="shared" si="55"/>
        <v>#VALUE!</v>
      </c>
      <c r="Z125" s="1094">
        <f>tab!$B$50</f>
        <v>0.6</v>
      </c>
      <c r="AA125" s="1126" t="e">
        <f t="shared" si="43"/>
        <v>#VALUE!</v>
      </c>
      <c r="AB125" s="1126" t="e">
        <f t="shared" si="44"/>
        <v>#VALUE!</v>
      </c>
      <c r="AC125" s="1126" t="e">
        <f t="shared" si="45"/>
        <v>#VALUE!</v>
      </c>
      <c r="AD125" s="1128" t="e">
        <f t="shared" si="46"/>
        <v>#VALUE!</v>
      </c>
      <c r="AE125" s="1128">
        <f t="shared" si="47"/>
        <v>0</v>
      </c>
      <c r="AF125" s="1096">
        <f>IF(H125&gt;8,tab!$B$51,tab!$B$54)</f>
        <v>0.5</v>
      </c>
      <c r="AG125" s="1097">
        <f t="shared" si="56"/>
        <v>0</v>
      </c>
      <c r="AH125" s="1093">
        <f t="shared" si="57"/>
        <v>0</v>
      </c>
      <c r="AI125" s="1120" t="e">
        <f>DATE(YEAR(tab!$D$3),MONTH(G125),DAY(G125))&gt;tab!$D$3</f>
        <v>#VALUE!</v>
      </c>
      <c r="AJ125" s="1097" t="e">
        <f t="shared" si="58"/>
        <v>#VALUE!</v>
      </c>
      <c r="AK125" s="1041">
        <f t="shared" si="59"/>
        <v>30</v>
      </c>
      <c r="AL125" s="1041">
        <f t="shared" si="60"/>
        <v>30</v>
      </c>
      <c r="AM125" s="1047">
        <f t="shared" si="61"/>
        <v>0</v>
      </c>
      <c r="AS125" s="727"/>
    </row>
    <row r="126" spans="2:45" ht="12.75" customHeight="1" x14ac:dyDescent="0.3">
      <c r="B126" s="422"/>
      <c r="C126" s="122"/>
      <c r="D126" s="388" t="str">
        <f>IF(op!D58="","",op!D58)</f>
        <v/>
      </c>
      <c r="E126" s="388" t="str">
        <f>IF(op!E58="","",op!E58)</f>
        <v/>
      </c>
      <c r="F126" s="684" t="str">
        <f>IF(op!F58="","",op!F58+1)</f>
        <v/>
      </c>
      <c r="G126" s="710" t="str">
        <f>IF(op!G58="","",op!G58)</f>
        <v/>
      </c>
      <c r="H126" s="684" t="str">
        <f>IF(op!H58=0,"",op!H58)</f>
        <v/>
      </c>
      <c r="I126" s="389" t="str">
        <f>IF(J126="","",IF(op!I58&gt;LOOKUP(H126,schaal2019,regels2019),op!I58-1,IF(op!I58=LOOKUP(H126,schaal2019,regels2019),op!I58,I58+1)))</f>
        <v/>
      </c>
      <c r="J126" s="711" t="str">
        <f>IF(op!J58="","",op!J58)</f>
        <v/>
      </c>
      <c r="K126" s="472"/>
      <c r="L126" s="1049">
        <f>IF(op!L58="",0,op!L58)</f>
        <v>0</v>
      </c>
      <c r="M126" s="1049">
        <f>IF(op!M58="",0,op!M58)</f>
        <v>0</v>
      </c>
      <c r="N126" s="1051" t="str">
        <f t="shared" si="37"/>
        <v/>
      </c>
      <c r="O126" s="1051" t="str">
        <f t="shared" si="38"/>
        <v/>
      </c>
      <c r="P126" s="1125" t="str">
        <f t="shared" si="39"/>
        <v/>
      </c>
      <c r="Q126" s="472"/>
      <c r="R126" s="923" t="str">
        <f t="shared" si="54"/>
        <v/>
      </c>
      <c r="S126" s="923" t="str">
        <f t="shared" si="40"/>
        <v/>
      </c>
      <c r="T126" s="925" t="str">
        <f t="shared" si="41"/>
        <v/>
      </c>
      <c r="U126" s="545"/>
      <c r="V126" s="712"/>
      <c r="W126" s="957"/>
      <c r="X126" s="1060"/>
      <c r="Y126" s="1095" t="e">
        <f t="shared" si="55"/>
        <v>#VALUE!</v>
      </c>
      <c r="Z126" s="1094">
        <f>tab!$B$50</f>
        <v>0.6</v>
      </c>
      <c r="AA126" s="1126" t="e">
        <f t="shared" si="43"/>
        <v>#VALUE!</v>
      </c>
      <c r="AB126" s="1126" t="e">
        <f t="shared" si="44"/>
        <v>#VALUE!</v>
      </c>
      <c r="AC126" s="1126" t="e">
        <f t="shared" si="45"/>
        <v>#VALUE!</v>
      </c>
      <c r="AD126" s="1128" t="e">
        <f t="shared" si="46"/>
        <v>#VALUE!</v>
      </c>
      <c r="AE126" s="1128">
        <f t="shared" si="47"/>
        <v>0</v>
      </c>
      <c r="AF126" s="1096">
        <f>IF(H126&gt;8,tab!$B$51,tab!$B$54)</f>
        <v>0.5</v>
      </c>
      <c r="AG126" s="1097">
        <f t="shared" si="56"/>
        <v>0</v>
      </c>
      <c r="AH126" s="1093">
        <f t="shared" si="57"/>
        <v>0</v>
      </c>
      <c r="AI126" s="1120" t="e">
        <f>DATE(YEAR(tab!$D$3),MONTH(G126),DAY(G126))&gt;tab!$D$3</f>
        <v>#VALUE!</v>
      </c>
      <c r="AJ126" s="1097" t="e">
        <f t="shared" si="58"/>
        <v>#VALUE!</v>
      </c>
      <c r="AK126" s="1041">
        <f t="shared" si="59"/>
        <v>30</v>
      </c>
      <c r="AL126" s="1041">
        <f t="shared" si="60"/>
        <v>30</v>
      </c>
      <c r="AM126" s="1047">
        <f t="shared" si="61"/>
        <v>0</v>
      </c>
      <c r="AS126" s="727"/>
    </row>
    <row r="127" spans="2:45" ht="12.75" customHeight="1" x14ac:dyDescent="0.3">
      <c r="B127" s="422"/>
      <c r="C127" s="122"/>
      <c r="D127" s="388" t="str">
        <f>IF(op!D59="","",op!D59)</f>
        <v/>
      </c>
      <c r="E127" s="388" t="str">
        <f>IF(op!E59="","",op!E59)</f>
        <v/>
      </c>
      <c r="F127" s="684" t="str">
        <f>IF(op!F59="","",op!F59+1)</f>
        <v/>
      </c>
      <c r="G127" s="710" t="str">
        <f>IF(op!G59="","",op!G59)</f>
        <v/>
      </c>
      <c r="H127" s="684" t="str">
        <f>IF(op!H59=0,"",op!H59)</f>
        <v/>
      </c>
      <c r="I127" s="389" t="str">
        <f>IF(J127="","",IF(op!I59&gt;LOOKUP(H127,schaal2019,regels2019),op!I59-1,IF(op!I59=LOOKUP(H127,schaal2019,regels2019),op!I59,I59+1)))</f>
        <v/>
      </c>
      <c r="J127" s="711" t="str">
        <f>IF(op!J59="","",op!J59)</f>
        <v/>
      </c>
      <c r="K127" s="472"/>
      <c r="L127" s="1049">
        <f>IF(op!L59="",0,op!L59)</f>
        <v>0</v>
      </c>
      <c r="M127" s="1049">
        <f>IF(op!M59="",0,op!M59)</f>
        <v>0</v>
      </c>
      <c r="N127" s="1051" t="str">
        <f t="shared" si="37"/>
        <v/>
      </c>
      <c r="O127" s="1051" t="str">
        <f t="shared" si="38"/>
        <v/>
      </c>
      <c r="P127" s="1125" t="str">
        <f t="shared" si="39"/>
        <v/>
      </c>
      <c r="Q127" s="472"/>
      <c r="R127" s="923" t="str">
        <f t="shared" si="54"/>
        <v/>
      </c>
      <c r="S127" s="923" t="str">
        <f t="shared" si="40"/>
        <v/>
      </c>
      <c r="T127" s="925" t="str">
        <f t="shared" si="41"/>
        <v/>
      </c>
      <c r="U127" s="545"/>
      <c r="V127" s="712"/>
      <c r="W127" s="957"/>
      <c r="X127" s="1060"/>
      <c r="Y127" s="1095" t="e">
        <f t="shared" si="55"/>
        <v>#VALUE!</v>
      </c>
      <c r="Z127" s="1094">
        <f>tab!$B$50</f>
        <v>0.6</v>
      </c>
      <c r="AA127" s="1126" t="e">
        <f t="shared" si="43"/>
        <v>#VALUE!</v>
      </c>
      <c r="AB127" s="1126" t="e">
        <f t="shared" si="44"/>
        <v>#VALUE!</v>
      </c>
      <c r="AC127" s="1126" t="e">
        <f t="shared" si="45"/>
        <v>#VALUE!</v>
      </c>
      <c r="AD127" s="1128" t="e">
        <f t="shared" si="46"/>
        <v>#VALUE!</v>
      </c>
      <c r="AE127" s="1128">
        <f t="shared" si="47"/>
        <v>0</v>
      </c>
      <c r="AF127" s="1096">
        <f>IF(H127&gt;8,tab!$B$51,tab!$B$54)</f>
        <v>0.5</v>
      </c>
      <c r="AG127" s="1097">
        <f t="shared" si="56"/>
        <v>0</v>
      </c>
      <c r="AH127" s="1093">
        <f t="shared" si="57"/>
        <v>0</v>
      </c>
      <c r="AI127" s="1120" t="e">
        <f>DATE(YEAR(tab!$D$3),MONTH(G127),DAY(G127))&gt;tab!$D$3</f>
        <v>#VALUE!</v>
      </c>
      <c r="AJ127" s="1097" t="e">
        <f t="shared" si="58"/>
        <v>#VALUE!</v>
      </c>
      <c r="AK127" s="1041">
        <f t="shared" si="59"/>
        <v>30</v>
      </c>
      <c r="AL127" s="1041">
        <f t="shared" si="60"/>
        <v>30</v>
      </c>
      <c r="AM127" s="1047">
        <f t="shared" si="61"/>
        <v>0</v>
      </c>
      <c r="AS127" s="727"/>
    </row>
    <row r="128" spans="2:45" ht="12.75" customHeight="1" x14ac:dyDescent="0.3">
      <c r="B128" s="422"/>
      <c r="C128" s="122"/>
      <c r="D128" s="388" t="str">
        <f>IF(op!D60="","",op!D60)</f>
        <v/>
      </c>
      <c r="E128" s="388" t="str">
        <f>IF(op!E60="","",op!E60)</f>
        <v/>
      </c>
      <c r="F128" s="684" t="str">
        <f>IF(op!F60="","",op!F60+1)</f>
        <v/>
      </c>
      <c r="G128" s="710" t="str">
        <f>IF(op!G60="","",op!G60)</f>
        <v/>
      </c>
      <c r="H128" s="684" t="str">
        <f>IF(op!H60=0,"",op!H60)</f>
        <v/>
      </c>
      <c r="I128" s="389" t="str">
        <f>IF(J128="","",IF(op!I60&gt;LOOKUP(H128,schaal2019,regels2019),op!I60-1,IF(op!I60=LOOKUP(H128,schaal2019,regels2019),op!I60,I60+1)))</f>
        <v/>
      </c>
      <c r="J128" s="711" t="str">
        <f>IF(op!J60="","",op!J60)</f>
        <v/>
      </c>
      <c r="K128" s="472"/>
      <c r="L128" s="1049">
        <f>IF(op!L60="",0,op!L60)</f>
        <v>0</v>
      </c>
      <c r="M128" s="1049">
        <f>IF(op!M60="",0,op!M60)</f>
        <v>0</v>
      </c>
      <c r="N128" s="1051" t="str">
        <f t="shared" si="37"/>
        <v/>
      </c>
      <c r="O128" s="1051" t="str">
        <f t="shared" si="38"/>
        <v/>
      </c>
      <c r="P128" s="1125" t="str">
        <f t="shared" si="39"/>
        <v/>
      </c>
      <c r="Q128" s="472"/>
      <c r="R128" s="923" t="str">
        <f t="shared" si="54"/>
        <v/>
      </c>
      <c r="S128" s="923" t="str">
        <f t="shared" si="40"/>
        <v/>
      </c>
      <c r="T128" s="925" t="str">
        <f t="shared" si="41"/>
        <v/>
      </c>
      <c r="U128" s="545"/>
      <c r="V128" s="712"/>
      <c r="W128" s="957"/>
      <c r="X128" s="1060"/>
      <c r="Y128" s="1095" t="e">
        <f t="shared" si="55"/>
        <v>#VALUE!</v>
      </c>
      <c r="Z128" s="1094">
        <f>tab!$B$50</f>
        <v>0.6</v>
      </c>
      <c r="AA128" s="1126" t="e">
        <f t="shared" si="43"/>
        <v>#VALUE!</v>
      </c>
      <c r="AB128" s="1126" t="e">
        <f t="shared" si="44"/>
        <v>#VALUE!</v>
      </c>
      <c r="AC128" s="1126" t="e">
        <f t="shared" si="45"/>
        <v>#VALUE!</v>
      </c>
      <c r="AD128" s="1128" t="e">
        <f t="shared" si="46"/>
        <v>#VALUE!</v>
      </c>
      <c r="AE128" s="1128">
        <f t="shared" si="47"/>
        <v>0</v>
      </c>
      <c r="AF128" s="1096">
        <f>IF(H128&gt;8,tab!$B$51,tab!$B$54)</f>
        <v>0.5</v>
      </c>
      <c r="AG128" s="1097">
        <f t="shared" si="56"/>
        <v>0</v>
      </c>
      <c r="AH128" s="1093">
        <f t="shared" si="57"/>
        <v>0</v>
      </c>
      <c r="AI128" s="1120" t="e">
        <f>DATE(YEAR(tab!$D$3),MONTH(G128),DAY(G128))&gt;tab!$D$3</f>
        <v>#VALUE!</v>
      </c>
      <c r="AJ128" s="1097" t="e">
        <f t="shared" si="58"/>
        <v>#VALUE!</v>
      </c>
      <c r="AK128" s="1041">
        <f t="shared" si="59"/>
        <v>30</v>
      </c>
      <c r="AL128" s="1041">
        <f t="shared" si="60"/>
        <v>30</v>
      </c>
      <c r="AM128" s="1047">
        <f t="shared" si="61"/>
        <v>0</v>
      </c>
      <c r="AS128" s="727"/>
    </row>
    <row r="129" spans="2:45" ht="12.75" customHeight="1" x14ac:dyDescent="0.3">
      <c r="B129" s="422"/>
      <c r="C129" s="122"/>
      <c r="D129" s="388" t="str">
        <f>IF(op!D61="","",op!D61)</f>
        <v/>
      </c>
      <c r="E129" s="388" t="str">
        <f>IF(op!E61="","",op!E61)</f>
        <v/>
      </c>
      <c r="F129" s="684" t="str">
        <f>IF(op!F61="","",op!F61+1)</f>
        <v/>
      </c>
      <c r="G129" s="710" t="str">
        <f>IF(op!G61="","",op!G61)</f>
        <v/>
      </c>
      <c r="H129" s="684" t="str">
        <f>IF(op!H61=0,"",op!H61)</f>
        <v/>
      </c>
      <c r="I129" s="389" t="str">
        <f>IF(J129="","",IF(op!I61&gt;LOOKUP(H129,schaal2019,regels2019),op!I61-1,IF(op!I61=LOOKUP(H129,schaal2019,regels2019),op!I61,I61+1)))</f>
        <v/>
      </c>
      <c r="J129" s="711" t="str">
        <f>IF(op!J61="","",op!J61)</f>
        <v/>
      </c>
      <c r="K129" s="472"/>
      <c r="L129" s="1049">
        <f>IF(op!L61="",0,op!L61)</f>
        <v>0</v>
      </c>
      <c r="M129" s="1049">
        <f>IF(op!M61="",0,op!M61)</f>
        <v>0</v>
      </c>
      <c r="N129" s="1051" t="str">
        <f t="shared" si="37"/>
        <v/>
      </c>
      <c r="O129" s="1051" t="str">
        <f t="shared" si="38"/>
        <v/>
      </c>
      <c r="P129" s="1125" t="str">
        <f t="shared" si="39"/>
        <v/>
      </c>
      <c r="Q129" s="472"/>
      <c r="R129" s="923" t="str">
        <f t="shared" si="54"/>
        <v/>
      </c>
      <c r="S129" s="923" t="str">
        <f t="shared" si="40"/>
        <v/>
      </c>
      <c r="T129" s="925" t="str">
        <f t="shared" si="41"/>
        <v/>
      </c>
      <c r="U129" s="545"/>
      <c r="V129" s="712"/>
      <c r="W129" s="957"/>
      <c r="X129" s="1060"/>
      <c r="Y129" s="1095" t="e">
        <f t="shared" si="55"/>
        <v>#VALUE!</v>
      </c>
      <c r="Z129" s="1094">
        <f>tab!$B$50</f>
        <v>0.6</v>
      </c>
      <c r="AA129" s="1126" t="e">
        <f t="shared" si="43"/>
        <v>#VALUE!</v>
      </c>
      <c r="AB129" s="1126" t="e">
        <f t="shared" si="44"/>
        <v>#VALUE!</v>
      </c>
      <c r="AC129" s="1126" t="e">
        <f t="shared" si="45"/>
        <v>#VALUE!</v>
      </c>
      <c r="AD129" s="1128" t="e">
        <f t="shared" si="46"/>
        <v>#VALUE!</v>
      </c>
      <c r="AE129" s="1128">
        <f t="shared" si="47"/>
        <v>0</v>
      </c>
      <c r="AF129" s="1096">
        <f>IF(H129&gt;8,tab!$B$51,tab!$B$54)</f>
        <v>0.5</v>
      </c>
      <c r="AG129" s="1097">
        <f t="shared" si="56"/>
        <v>0</v>
      </c>
      <c r="AH129" s="1093">
        <f t="shared" si="57"/>
        <v>0</v>
      </c>
      <c r="AI129" s="1120" t="e">
        <f>DATE(YEAR(tab!$D$3),MONTH(G129),DAY(G129))&gt;tab!$D$3</f>
        <v>#VALUE!</v>
      </c>
      <c r="AJ129" s="1097" t="e">
        <f t="shared" si="58"/>
        <v>#VALUE!</v>
      </c>
      <c r="AK129" s="1041">
        <f t="shared" si="59"/>
        <v>30</v>
      </c>
      <c r="AL129" s="1041">
        <f t="shared" si="60"/>
        <v>30</v>
      </c>
      <c r="AM129" s="1047">
        <f t="shared" si="61"/>
        <v>0</v>
      </c>
      <c r="AS129" s="727"/>
    </row>
    <row r="130" spans="2:45" ht="12.75" customHeight="1" x14ac:dyDescent="0.3">
      <c r="B130" s="422"/>
      <c r="C130" s="122"/>
      <c r="D130" s="388" t="str">
        <f>IF(op!D62="","",op!D62)</f>
        <v/>
      </c>
      <c r="E130" s="388" t="str">
        <f>IF(op!E62="","",op!E62)</f>
        <v/>
      </c>
      <c r="F130" s="684" t="str">
        <f>IF(op!F62="","",op!F62+1)</f>
        <v/>
      </c>
      <c r="G130" s="710" t="str">
        <f>IF(op!G62="","",op!G62)</f>
        <v/>
      </c>
      <c r="H130" s="684" t="str">
        <f>IF(op!H62=0,"",op!H62)</f>
        <v/>
      </c>
      <c r="I130" s="389" t="str">
        <f>IF(J130="","",IF(op!I62&gt;LOOKUP(H130,schaal2019,regels2019),op!I62-1,IF(op!I62=LOOKUP(H130,schaal2019,regels2019),op!I62,I62+1)))</f>
        <v/>
      </c>
      <c r="J130" s="711" t="str">
        <f>IF(op!J62="","",op!J62)</f>
        <v/>
      </c>
      <c r="K130" s="472"/>
      <c r="L130" s="1049">
        <f>IF(op!L62="",0,op!L62)</f>
        <v>0</v>
      </c>
      <c r="M130" s="1049">
        <f>IF(op!M62="",0,op!M62)</f>
        <v>0</v>
      </c>
      <c r="N130" s="1051" t="str">
        <f t="shared" si="37"/>
        <v/>
      </c>
      <c r="O130" s="1051" t="str">
        <f t="shared" si="38"/>
        <v/>
      </c>
      <c r="P130" s="1125" t="str">
        <f t="shared" si="39"/>
        <v/>
      </c>
      <c r="Q130" s="472"/>
      <c r="R130" s="923" t="str">
        <f t="shared" si="54"/>
        <v/>
      </c>
      <c r="S130" s="923" t="str">
        <f t="shared" si="40"/>
        <v/>
      </c>
      <c r="T130" s="925" t="str">
        <f t="shared" si="41"/>
        <v/>
      </c>
      <c r="U130" s="545"/>
      <c r="V130" s="712"/>
      <c r="W130" s="957"/>
      <c r="X130" s="1060"/>
      <c r="Y130" s="1095" t="e">
        <f t="shared" si="55"/>
        <v>#VALUE!</v>
      </c>
      <c r="Z130" s="1094">
        <f>tab!$B$50</f>
        <v>0.6</v>
      </c>
      <c r="AA130" s="1126" t="e">
        <f t="shared" si="43"/>
        <v>#VALUE!</v>
      </c>
      <c r="AB130" s="1126" t="e">
        <f t="shared" si="44"/>
        <v>#VALUE!</v>
      </c>
      <c r="AC130" s="1126" t="e">
        <f t="shared" si="45"/>
        <v>#VALUE!</v>
      </c>
      <c r="AD130" s="1128" t="e">
        <f t="shared" si="46"/>
        <v>#VALUE!</v>
      </c>
      <c r="AE130" s="1128">
        <f t="shared" si="47"/>
        <v>0</v>
      </c>
      <c r="AF130" s="1096">
        <f>IF(H130&gt;8,tab!$B$51,tab!$B$54)</f>
        <v>0.5</v>
      </c>
      <c r="AG130" s="1097">
        <f t="shared" si="56"/>
        <v>0</v>
      </c>
      <c r="AH130" s="1093">
        <f t="shared" si="57"/>
        <v>0</v>
      </c>
      <c r="AI130" s="1120" t="e">
        <f>DATE(YEAR(tab!$D$3),MONTH(G130),DAY(G130))&gt;tab!$D$3</f>
        <v>#VALUE!</v>
      </c>
      <c r="AJ130" s="1097" t="e">
        <f t="shared" si="58"/>
        <v>#VALUE!</v>
      </c>
      <c r="AK130" s="1041">
        <f t="shared" si="59"/>
        <v>30</v>
      </c>
      <c r="AL130" s="1041">
        <f t="shared" si="60"/>
        <v>30</v>
      </c>
      <c r="AM130" s="1047">
        <f t="shared" si="61"/>
        <v>0</v>
      </c>
      <c r="AS130" s="727"/>
    </row>
    <row r="131" spans="2:45" ht="12.75" customHeight="1" x14ac:dyDescent="0.3">
      <c r="B131" s="422"/>
      <c r="C131" s="122"/>
      <c r="D131" s="388" t="str">
        <f>IF(op!D63="","",op!D63)</f>
        <v/>
      </c>
      <c r="E131" s="388" t="str">
        <f>IF(op!E63="","",op!E63)</f>
        <v/>
      </c>
      <c r="F131" s="684" t="str">
        <f>IF(op!F63="","",op!F63+1)</f>
        <v/>
      </c>
      <c r="G131" s="710" t="str">
        <f>IF(op!G63="","",op!G63)</f>
        <v/>
      </c>
      <c r="H131" s="684" t="str">
        <f>IF(op!H63=0,"",op!H63)</f>
        <v/>
      </c>
      <c r="I131" s="389" t="str">
        <f>IF(J131="","",IF(op!I63&gt;LOOKUP(H131,schaal2019,regels2019),op!I63-1,IF(op!I63=LOOKUP(H131,schaal2019,regels2019),op!I63,I63+1)))</f>
        <v/>
      </c>
      <c r="J131" s="711" t="str">
        <f>IF(op!J63="","",op!J63)</f>
        <v/>
      </c>
      <c r="K131" s="472"/>
      <c r="L131" s="1049">
        <f>IF(op!L63="",0,op!L63)</f>
        <v>0</v>
      </c>
      <c r="M131" s="1049">
        <f>IF(op!M63="",0,op!M63)</f>
        <v>0</v>
      </c>
      <c r="N131" s="1051" t="str">
        <f t="shared" si="37"/>
        <v/>
      </c>
      <c r="O131" s="1051" t="str">
        <f t="shared" si="38"/>
        <v/>
      </c>
      <c r="P131" s="1125" t="str">
        <f t="shared" si="39"/>
        <v/>
      </c>
      <c r="Q131" s="472"/>
      <c r="R131" s="923" t="str">
        <f t="shared" si="54"/>
        <v/>
      </c>
      <c r="S131" s="923" t="str">
        <f t="shared" si="40"/>
        <v/>
      </c>
      <c r="T131" s="925" t="str">
        <f t="shared" si="41"/>
        <v/>
      </c>
      <c r="U131" s="545"/>
      <c r="V131" s="712"/>
      <c r="W131" s="957"/>
      <c r="X131" s="1060"/>
      <c r="Y131" s="1095" t="e">
        <f t="shared" si="55"/>
        <v>#VALUE!</v>
      </c>
      <c r="Z131" s="1094">
        <f>tab!$B$50</f>
        <v>0.6</v>
      </c>
      <c r="AA131" s="1126" t="e">
        <f t="shared" si="43"/>
        <v>#VALUE!</v>
      </c>
      <c r="AB131" s="1126" t="e">
        <f t="shared" si="44"/>
        <v>#VALUE!</v>
      </c>
      <c r="AC131" s="1126" t="e">
        <f t="shared" si="45"/>
        <v>#VALUE!</v>
      </c>
      <c r="AD131" s="1128" t="e">
        <f t="shared" si="46"/>
        <v>#VALUE!</v>
      </c>
      <c r="AE131" s="1128">
        <f t="shared" si="47"/>
        <v>0</v>
      </c>
      <c r="AF131" s="1096">
        <f>IF(H131&gt;8,tab!$B$51,tab!$B$54)</f>
        <v>0.5</v>
      </c>
      <c r="AG131" s="1097">
        <f t="shared" si="56"/>
        <v>0</v>
      </c>
      <c r="AH131" s="1093">
        <f t="shared" si="57"/>
        <v>0</v>
      </c>
      <c r="AI131" s="1120" t="e">
        <f>DATE(YEAR(tab!$D$3),MONTH(G131),DAY(G131))&gt;tab!$D$3</f>
        <v>#VALUE!</v>
      </c>
      <c r="AJ131" s="1097" t="e">
        <f t="shared" si="58"/>
        <v>#VALUE!</v>
      </c>
      <c r="AK131" s="1041">
        <f t="shared" si="59"/>
        <v>30</v>
      </c>
      <c r="AL131" s="1041">
        <f t="shared" si="60"/>
        <v>30</v>
      </c>
      <c r="AM131" s="1047">
        <f t="shared" si="61"/>
        <v>0</v>
      </c>
      <c r="AS131" s="727"/>
    </row>
    <row r="132" spans="2:45" ht="12.75" customHeight="1" x14ac:dyDescent="0.3">
      <c r="B132" s="422"/>
      <c r="C132" s="122"/>
      <c r="D132" s="388" t="str">
        <f>IF(op!D64="","",op!D64)</f>
        <v/>
      </c>
      <c r="E132" s="388" t="str">
        <f>IF(op!E64="","",op!E64)</f>
        <v/>
      </c>
      <c r="F132" s="684" t="str">
        <f>IF(op!F64="","",op!F64+1)</f>
        <v/>
      </c>
      <c r="G132" s="710" t="str">
        <f>IF(op!G64="","",op!G64)</f>
        <v/>
      </c>
      <c r="H132" s="684" t="str">
        <f>IF(op!H64=0,"",op!H64)</f>
        <v/>
      </c>
      <c r="I132" s="389" t="str">
        <f>IF(J132="","",IF(op!I64&gt;LOOKUP(H132,schaal2019,regels2019),op!I64-1,IF(op!I64=LOOKUP(H132,schaal2019,regels2019),op!I64,I64+1)))</f>
        <v/>
      </c>
      <c r="J132" s="711" t="str">
        <f>IF(op!J64="","",op!J64)</f>
        <v/>
      </c>
      <c r="K132" s="472"/>
      <c r="L132" s="1049">
        <f>IF(op!L64="",0,op!L64)</f>
        <v>0</v>
      </c>
      <c r="M132" s="1049">
        <f>IF(op!M64="",0,op!M64)</f>
        <v>0</v>
      </c>
      <c r="N132" s="1051" t="str">
        <f t="shared" si="37"/>
        <v/>
      </c>
      <c r="O132" s="1051" t="str">
        <f t="shared" si="38"/>
        <v/>
      </c>
      <c r="P132" s="1125" t="str">
        <f t="shared" si="39"/>
        <v/>
      </c>
      <c r="Q132" s="472"/>
      <c r="R132" s="923" t="str">
        <f t="shared" si="54"/>
        <v/>
      </c>
      <c r="S132" s="923" t="str">
        <f t="shared" si="40"/>
        <v/>
      </c>
      <c r="T132" s="925" t="str">
        <f t="shared" si="41"/>
        <v/>
      </c>
      <c r="U132" s="545"/>
      <c r="V132" s="712"/>
      <c r="W132" s="957"/>
      <c r="X132" s="1060"/>
      <c r="Y132" s="1095" t="e">
        <f t="shared" si="55"/>
        <v>#VALUE!</v>
      </c>
      <c r="Z132" s="1094">
        <f>tab!$B$50</f>
        <v>0.6</v>
      </c>
      <c r="AA132" s="1126" t="e">
        <f t="shared" si="43"/>
        <v>#VALUE!</v>
      </c>
      <c r="AB132" s="1126" t="e">
        <f t="shared" si="44"/>
        <v>#VALUE!</v>
      </c>
      <c r="AC132" s="1126" t="e">
        <f t="shared" si="45"/>
        <v>#VALUE!</v>
      </c>
      <c r="AD132" s="1128" t="e">
        <f t="shared" si="46"/>
        <v>#VALUE!</v>
      </c>
      <c r="AE132" s="1128">
        <f t="shared" si="47"/>
        <v>0</v>
      </c>
      <c r="AF132" s="1096">
        <f>IF(H132&gt;8,tab!$B$51,tab!$B$54)</f>
        <v>0.5</v>
      </c>
      <c r="AG132" s="1097">
        <f t="shared" si="56"/>
        <v>0</v>
      </c>
      <c r="AH132" s="1093">
        <f t="shared" si="57"/>
        <v>0</v>
      </c>
      <c r="AI132" s="1120" t="e">
        <f>DATE(YEAR(tab!$D$3),MONTH(G132),DAY(G132))&gt;tab!$D$3</f>
        <v>#VALUE!</v>
      </c>
      <c r="AJ132" s="1097" t="e">
        <f t="shared" si="58"/>
        <v>#VALUE!</v>
      </c>
      <c r="AK132" s="1041">
        <f t="shared" si="59"/>
        <v>30</v>
      </c>
      <c r="AL132" s="1041">
        <f t="shared" si="60"/>
        <v>30</v>
      </c>
      <c r="AM132" s="1047">
        <f t="shared" si="61"/>
        <v>0</v>
      </c>
      <c r="AS132" s="727"/>
    </row>
    <row r="133" spans="2:45" ht="12.75" customHeight="1" x14ac:dyDescent="0.3">
      <c r="B133" s="422"/>
      <c r="C133" s="122"/>
      <c r="D133" s="388" t="str">
        <f>IF(op!D65="","",op!D65)</f>
        <v/>
      </c>
      <c r="E133" s="388" t="str">
        <f>IF(op!E65="","",op!E65)</f>
        <v/>
      </c>
      <c r="F133" s="684" t="str">
        <f>IF(op!F65="","",op!F65+1)</f>
        <v/>
      </c>
      <c r="G133" s="710" t="str">
        <f>IF(op!G65="","",op!G65)</f>
        <v/>
      </c>
      <c r="H133" s="684" t="str">
        <f>IF(op!H65=0,"",op!H65)</f>
        <v/>
      </c>
      <c r="I133" s="389" t="str">
        <f>IF(J133="","",IF(op!I65&gt;LOOKUP(H133,schaal2019,regels2019),op!I65-1,IF(op!I65=LOOKUP(H133,schaal2019,regels2019),op!I65,I65+1)))</f>
        <v/>
      </c>
      <c r="J133" s="711" t="str">
        <f>IF(op!J65="","",op!J65)</f>
        <v/>
      </c>
      <c r="K133" s="472"/>
      <c r="L133" s="1049">
        <f>IF(op!L65="",0,op!L65)</f>
        <v>0</v>
      </c>
      <c r="M133" s="1049">
        <f>IF(op!M65="",0,op!M65)</f>
        <v>0</v>
      </c>
      <c r="N133" s="1051" t="str">
        <f t="shared" si="37"/>
        <v/>
      </c>
      <c r="O133" s="1051" t="str">
        <f t="shared" si="38"/>
        <v/>
      </c>
      <c r="P133" s="1125" t="str">
        <f t="shared" si="39"/>
        <v/>
      </c>
      <c r="Q133" s="472"/>
      <c r="R133" s="923" t="str">
        <f t="shared" si="54"/>
        <v/>
      </c>
      <c r="S133" s="923" t="str">
        <f t="shared" si="40"/>
        <v/>
      </c>
      <c r="T133" s="925" t="str">
        <f t="shared" si="41"/>
        <v/>
      </c>
      <c r="U133" s="545"/>
      <c r="V133" s="712"/>
      <c r="W133" s="957"/>
      <c r="X133" s="1060"/>
      <c r="Y133" s="1095" t="e">
        <f t="shared" si="55"/>
        <v>#VALUE!</v>
      </c>
      <c r="Z133" s="1094">
        <f>tab!$B$50</f>
        <v>0.6</v>
      </c>
      <c r="AA133" s="1126" t="e">
        <f t="shared" si="43"/>
        <v>#VALUE!</v>
      </c>
      <c r="AB133" s="1126" t="e">
        <f t="shared" si="44"/>
        <v>#VALUE!</v>
      </c>
      <c r="AC133" s="1126" t="e">
        <f t="shared" si="45"/>
        <v>#VALUE!</v>
      </c>
      <c r="AD133" s="1128" t="e">
        <f t="shared" si="46"/>
        <v>#VALUE!</v>
      </c>
      <c r="AE133" s="1128">
        <f t="shared" si="47"/>
        <v>0</v>
      </c>
      <c r="AF133" s="1096">
        <f>IF(H133&gt;8,tab!$B$51,tab!$B$54)</f>
        <v>0.5</v>
      </c>
      <c r="AG133" s="1097">
        <f t="shared" si="56"/>
        <v>0</v>
      </c>
      <c r="AH133" s="1093">
        <f t="shared" si="57"/>
        <v>0</v>
      </c>
      <c r="AI133" s="1120" t="e">
        <f>DATE(YEAR(tab!$D$3),MONTH(G133),DAY(G133))&gt;tab!$D$3</f>
        <v>#VALUE!</v>
      </c>
      <c r="AJ133" s="1097" t="e">
        <f t="shared" si="58"/>
        <v>#VALUE!</v>
      </c>
      <c r="AK133" s="1041">
        <f t="shared" si="59"/>
        <v>30</v>
      </c>
      <c r="AL133" s="1041">
        <f t="shared" si="60"/>
        <v>30</v>
      </c>
      <c r="AM133" s="1047">
        <f t="shared" si="61"/>
        <v>0</v>
      </c>
      <c r="AS133" s="727"/>
    </row>
    <row r="134" spans="2:45" ht="12.75" customHeight="1" x14ac:dyDescent="0.3">
      <c r="B134" s="422"/>
      <c r="C134" s="122"/>
      <c r="D134" s="388" t="str">
        <f>IF(op!D66="","",op!D66)</f>
        <v/>
      </c>
      <c r="E134" s="388" t="str">
        <f>IF(op!E66="","",op!E66)</f>
        <v/>
      </c>
      <c r="F134" s="684" t="str">
        <f>IF(op!F66="","",op!F66+1)</f>
        <v/>
      </c>
      <c r="G134" s="710" t="str">
        <f>IF(op!G66="","",op!G66)</f>
        <v/>
      </c>
      <c r="H134" s="684" t="str">
        <f>IF(op!H66=0,"",op!H66)</f>
        <v/>
      </c>
      <c r="I134" s="389" t="str">
        <f>IF(J134="","",IF(op!I66&gt;LOOKUP(H134,schaal2019,regels2019),op!I66-1,IF(op!I66=LOOKUP(H134,schaal2019,regels2019),op!I66,I66+1)))</f>
        <v/>
      </c>
      <c r="J134" s="711" t="str">
        <f>IF(op!J66="","",op!J66)</f>
        <v/>
      </c>
      <c r="K134" s="472"/>
      <c r="L134" s="1049">
        <f>IF(op!L66="",0,op!L66)</f>
        <v>0</v>
      </c>
      <c r="M134" s="1049">
        <f>IF(op!M66="",0,op!M66)</f>
        <v>0</v>
      </c>
      <c r="N134" s="1051" t="str">
        <f t="shared" si="37"/>
        <v/>
      </c>
      <c r="O134" s="1051" t="str">
        <f t="shared" si="38"/>
        <v/>
      </c>
      <c r="P134" s="1125" t="str">
        <f t="shared" si="39"/>
        <v/>
      </c>
      <c r="Q134" s="472"/>
      <c r="R134" s="923" t="str">
        <f t="shared" si="54"/>
        <v/>
      </c>
      <c r="S134" s="923" t="str">
        <f t="shared" si="40"/>
        <v/>
      </c>
      <c r="T134" s="925" t="str">
        <f t="shared" si="41"/>
        <v/>
      </c>
      <c r="U134" s="545"/>
      <c r="V134" s="712"/>
      <c r="W134" s="957"/>
      <c r="X134" s="1060"/>
      <c r="Y134" s="1095" t="e">
        <f t="shared" si="55"/>
        <v>#VALUE!</v>
      </c>
      <c r="Z134" s="1094">
        <f>tab!$B$50</f>
        <v>0.6</v>
      </c>
      <c r="AA134" s="1126" t="e">
        <f t="shared" si="43"/>
        <v>#VALUE!</v>
      </c>
      <c r="AB134" s="1126" t="e">
        <f t="shared" si="44"/>
        <v>#VALUE!</v>
      </c>
      <c r="AC134" s="1126" t="e">
        <f t="shared" si="45"/>
        <v>#VALUE!</v>
      </c>
      <c r="AD134" s="1128" t="e">
        <f t="shared" si="46"/>
        <v>#VALUE!</v>
      </c>
      <c r="AE134" s="1128">
        <f t="shared" si="47"/>
        <v>0</v>
      </c>
      <c r="AF134" s="1096">
        <f>IF(H134&gt;8,tab!$B$51,tab!$B$54)</f>
        <v>0.5</v>
      </c>
      <c r="AG134" s="1097">
        <f t="shared" si="56"/>
        <v>0</v>
      </c>
      <c r="AH134" s="1093">
        <f t="shared" si="57"/>
        <v>0</v>
      </c>
      <c r="AI134" s="1120" t="e">
        <f>DATE(YEAR(tab!$D$3),MONTH(G134),DAY(G134))&gt;tab!$D$3</f>
        <v>#VALUE!</v>
      </c>
      <c r="AJ134" s="1097" t="e">
        <f t="shared" si="58"/>
        <v>#VALUE!</v>
      </c>
      <c r="AK134" s="1041">
        <f t="shared" si="59"/>
        <v>30</v>
      </c>
      <c r="AL134" s="1041">
        <f t="shared" si="60"/>
        <v>30</v>
      </c>
      <c r="AM134" s="1047">
        <f t="shared" si="61"/>
        <v>0</v>
      </c>
      <c r="AS134" s="727"/>
    </row>
    <row r="135" spans="2:45" ht="12.75" customHeight="1" x14ac:dyDescent="0.3">
      <c r="B135" s="422"/>
      <c r="C135" s="122"/>
      <c r="D135" s="388" t="str">
        <f>IF(op!D67="","",op!D67)</f>
        <v/>
      </c>
      <c r="E135" s="388" t="str">
        <f>IF(op!E67="","",op!E67)</f>
        <v/>
      </c>
      <c r="F135" s="684" t="str">
        <f>IF(op!F67="","",op!F67+1)</f>
        <v/>
      </c>
      <c r="G135" s="710" t="str">
        <f>IF(op!G67="","",op!G67)</f>
        <v/>
      </c>
      <c r="H135" s="684" t="str">
        <f>IF(op!H67=0,"",op!H67)</f>
        <v/>
      </c>
      <c r="I135" s="389" t="str">
        <f>IF(J135="","",IF(op!I67&gt;LOOKUP(H135,schaal2019,regels2019),op!I67-1,IF(op!I67=LOOKUP(H135,schaal2019,regels2019),op!I67,I67+1)))</f>
        <v/>
      </c>
      <c r="J135" s="711" t="str">
        <f>IF(op!J67="","",op!J67)</f>
        <v/>
      </c>
      <c r="K135" s="472"/>
      <c r="L135" s="1049">
        <f>IF(op!L67="",0,op!L67)</f>
        <v>0</v>
      </c>
      <c r="M135" s="1049">
        <f>IF(op!M67="",0,op!M67)</f>
        <v>0</v>
      </c>
      <c r="N135" s="1051" t="str">
        <f t="shared" si="37"/>
        <v/>
      </c>
      <c r="O135" s="1051" t="str">
        <f t="shared" si="38"/>
        <v/>
      </c>
      <c r="P135" s="1125" t="str">
        <f t="shared" si="39"/>
        <v/>
      </c>
      <c r="Q135" s="472"/>
      <c r="R135" s="923" t="str">
        <f t="shared" si="54"/>
        <v/>
      </c>
      <c r="S135" s="923" t="str">
        <f t="shared" si="40"/>
        <v/>
      </c>
      <c r="T135" s="925" t="str">
        <f t="shared" si="41"/>
        <v/>
      </c>
      <c r="U135" s="545"/>
      <c r="V135" s="712"/>
      <c r="W135" s="957"/>
      <c r="X135" s="1060"/>
      <c r="Y135" s="1095" t="e">
        <f t="shared" si="55"/>
        <v>#VALUE!</v>
      </c>
      <c r="Z135" s="1094">
        <f>tab!$B$50</f>
        <v>0.6</v>
      </c>
      <c r="AA135" s="1126" t="e">
        <f t="shared" si="43"/>
        <v>#VALUE!</v>
      </c>
      <c r="AB135" s="1126" t="e">
        <f t="shared" si="44"/>
        <v>#VALUE!</v>
      </c>
      <c r="AC135" s="1126" t="e">
        <f t="shared" si="45"/>
        <v>#VALUE!</v>
      </c>
      <c r="AD135" s="1128" t="e">
        <f t="shared" si="46"/>
        <v>#VALUE!</v>
      </c>
      <c r="AE135" s="1128">
        <f t="shared" si="47"/>
        <v>0</v>
      </c>
      <c r="AF135" s="1096">
        <f>IF(H135&gt;8,tab!$B$51,tab!$B$54)</f>
        <v>0.5</v>
      </c>
      <c r="AG135" s="1097">
        <f t="shared" si="56"/>
        <v>0</v>
      </c>
      <c r="AH135" s="1093">
        <f t="shared" si="57"/>
        <v>0</v>
      </c>
      <c r="AI135" s="1120" t="e">
        <f>DATE(YEAR(tab!$D$3),MONTH(G135),DAY(G135))&gt;tab!$D$3</f>
        <v>#VALUE!</v>
      </c>
      <c r="AJ135" s="1097" t="e">
        <f t="shared" si="58"/>
        <v>#VALUE!</v>
      </c>
      <c r="AK135" s="1041">
        <f t="shared" si="59"/>
        <v>30</v>
      </c>
      <c r="AL135" s="1041">
        <f t="shared" si="60"/>
        <v>30</v>
      </c>
      <c r="AM135" s="1047">
        <f t="shared" si="61"/>
        <v>0</v>
      </c>
      <c r="AS135" s="727"/>
    </row>
    <row r="136" spans="2:45" ht="12.75" customHeight="1" x14ac:dyDescent="0.3">
      <c r="B136" s="422"/>
      <c r="C136" s="122"/>
      <c r="D136" s="388" t="str">
        <f>IF(op!D68="","",op!D68)</f>
        <v/>
      </c>
      <c r="E136" s="388" t="str">
        <f>IF(op!E68="","",op!E68)</f>
        <v/>
      </c>
      <c r="F136" s="684" t="str">
        <f>IF(op!F68="","",op!F68+1)</f>
        <v/>
      </c>
      <c r="G136" s="710" t="str">
        <f>IF(op!G68="","",op!G68)</f>
        <v/>
      </c>
      <c r="H136" s="684" t="str">
        <f>IF(op!H68=0,"",op!H68)</f>
        <v/>
      </c>
      <c r="I136" s="389" t="str">
        <f>IF(J136="","",IF(op!I68&gt;LOOKUP(H136,schaal2019,regels2019),op!I68-1,IF(op!I68=LOOKUP(H136,schaal2019,regels2019),op!I68,I68+1)))</f>
        <v/>
      </c>
      <c r="J136" s="711" t="str">
        <f>IF(op!J68="","",op!J68)</f>
        <v/>
      </c>
      <c r="K136" s="472"/>
      <c r="L136" s="1049">
        <f>IF(op!L68="",0,op!L68)</f>
        <v>0</v>
      </c>
      <c r="M136" s="1049">
        <f>IF(op!M68="",0,op!M68)</f>
        <v>0</v>
      </c>
      <c r="N136" s="1051" t="str">
        <f t="shared" si="37"/>
        <v/>
      </c>
      <c r="O136" s="1051" t="str">
        <f t="shared" si="38"/>
        <v/>
      </c>
      <c r="P136" s="1125" t="str">
        <f t="shared" si="39"/>
        <v/>
      </c>
      <c r="Q136" s="472"/>
      <c r="R136" s="923" t="str">
        <f t="shared" si="54"/>
        <v/>
      </c>
      <c r="S136" s="923" t="str">
        <f t="shared" si="40"/>
        <v/>
      </c>
      <c r="T136" s="925" t="str">
        <f t="shared" si="41"/>
        <v/>
      </c>
      <c r="U136" s="545"/>
      <c r="V136" s="712"/>
      <c r="W136" s="957"/>
      <c r="X136" s="1060"/>
      <c r="Y136" s="1095" t="e">
        <f t="shared" si="55"/>
        <v>#VALUE!</v>
      </c>
      <c r="Z136" s="1094">
        <f>tab!$B$50</f>
        <v>0.6</v>
      </c>
      <c r="AA136" s="1126" t="e">
        <f t="shared" si="43"/>
        <v>#VALUE!</v>
      </c>
      <c r="AB136" s="1126" t="e">
        <f t="shared" si="44"/>
        <v>#VALUE!</v>
      </c>
      <c r="AC136" s="1126" t="e">
        <f t="shared" si="45"/>
        <v>#VALUE!</v>
      </c>
      <c r="AD136" s="1128" t="e">
        <f t="shared" si="46"/>
        <v>#VALUE!</v>
      </c>
      <c r="AE136" s="1128">
        <f t="shared" si="47"/>
        <v>0</v>
      </c>
      <c r="AF136" s="1096">
        <f>IF(H136&gt;8,tab!$B$51,tab!$B$54)</f>
        <v>0.5</v>
      </c>
      <c r="AG136" s="1097">
        <f t="shared" si="56"/>
        <v>0</v>
      </c>
      <c r="AH136" s="1093">
        <f t="shared" si="57"/>
        <v>0</v>
      </c>
      <c r="AI136" s="1120" t="e">
        <f>DATE(YEAR(tab!$D$3),MONTH(G136),DAY(G136))&gt;tab!$D$3</f>
        <v>#VALUE!</v>
      </c>
      <c r="AJ136" s="1097" t="e">
        <f t="shared" si="58"/>
        <v>#VALUE!</v>
      </c>
      <c r="AK136" s="1041">
        <f t="shared" si="59"/>
        <v>30</v>
      </c>
      <c r="AL136" s="1041">
        <f t="shared" si="60"/>
        <v>30</v>
      </c>
      <c r="AM136" s="1047">
        <f t="shared" si="61"/>
        <v>0</v>
      </c>
      <c r="AS136" s="727"/>
    </row>
    <row r="137" spans="2:45" ht="12.75" customHeight="1" x14ac:dyDescent="0.3">
      <c r="B137" s="422"/>
      <c r="C137" s="122"/>
      <c r="D137" s="388" t="str">
        <f>IF(op!D69="","",op!D69)</f>
        <v/>
      </c>
      <c r="E137" s="388" t="str">
        <f>IF(op!E69="","",op!E69)</f>
        <v/>
      </c>
      <c r="F137" s="684" t="str">
        <f>IF(op!F69="","",op!F69+1)</f>
        <v/>
      </c>
      <c r="G137" s="710" t="str">
        <f>IF(op!G69="","",op!G69)</f>
        <v/>
      </c>
      <c r="H137" s="684" t="str">
        <f>IF(op!H69=0,"",op!H69)</f>
        <v/>
      </c>
      <c r="I137" s="389" t="str">
        <f>IF(J137="","",IF(op!I69&gt;LOOKUP(H137,schaal2019,regels2019),op!I69-1,IF(op!I69=LOOKUP(H137,schaal2019,regels2019),op!I69,I69+1)))</f>
        <v/>
      </c>
      <c r="J137" s="711" t="str">
        <f>IF(op!J69="","",op!J69)</f>
        <v/>
      </c>
      <c r="K137" s="472"/>
      <c r="L137" s="1049">
        <f>IF(op!L69="",0,op!L69)</f>
        <v>0</v>
      </c>
      <c r="M137" s="1049">
        <f>IF(op!M69="",0,op!M69)</f>
        <v>0</v>
      </c>
      <c r="N137" s="1051" t="str">
        <f t="shared" si="37"/>
        <v/>
      </c>
      <c r="O137" s="1051" t="str">
        <f t="shared" si="38"/>
        <v/>
      </c>
      <c r="P137" s="1125" t="str">
        <f t="shared" si="39"/>
        <v/>
      </c>
      <c r="Q137" s="472"/>
      <c r="R137" s="923" t="str">
        <f t="shared" si="54"/>
        <v/>
      </c>
      <c r="S137" s="923" t="str">
        <f t="shared" si="40"/>
        <v/>
      </c>
      <c r="T137" s="925" t="str">
        <f t="shared" si="41"/>
        <v/>
      </c>
      <c r="U137" s="545"/>
      <c r="V137" s="712"/>
      <c r="W137" s="957"/>
      <c r="X137" s="1060"/>
      <c r="Y137" s="1095" t="e">
        <f t="shared" si="55"/>
        <v>#VALUE!</v>
      </c>
      <c r="Z137" s="1094">
        <f>tab!$B$50</f>
        <v>0.6</v>
      </c>
      <c r="AA137" s="1126" t="e">
        <f t="shared" si="43"/>
        <v>#VALUE!</v>
      </c>
      <c r="AB137" s="1126" t="e">
        <f t="shared" si="44"/>
        <v>#VALUE!</v>
      </c>
      <c r="AC137" s="1126" t="e">
        <f t="shared" si="45"/>
        <v>#VALUE!</v>
      </c>
      <c r="AD137" s="1128" t="e">
        <f t="shared" si="46"/>
        <v>#VALUE!</v>
      </c>
      <c r="AE137" s="1128">
        <f t="shared" si="47"/>
        <v>0</v>
      </c>
      <c r="AF137" s="1096">
        <f>IF(H137&gt;8,tab!$B$51,tab!$B$54)</f>
        <v>0.5</v>
      </c>
      <c r="AG137" s="1097">
        <f t="shared" si="56"/>
        <v>0</v>
      </c>
      <c r="AH137" s="1093">
        <f t="shared" si="57"/>
        <v>0</v>
      </c>
      <c r="AI137" s="1120" t="e">
        <f>DATE(YEAR(tab!$D$3),MONTH(G137),DAY(G137))&gt;tab!$D$3</f>
        <v>#VALUE!</v>
      </c>
      <c r="AJ137" s="1097" t="e">
        <f t="shared" si="58"/>
        <v>#VALUE!</v>
      </c>
      <c r="AK137" s="1041">
        <f t="shared" si="59"/>
        <v>30</v>
      </c>
      <c r="AL137" s="1041">
        <f t="shared" si="60"/>
        <v>30</v>
      </c>
      <c r="AM137" s="1047">
        <f t="shared" si="61"/>
        <v>0</v>
      </c>
      <c r="AS137" s="727"/>
    </row>
    <row r="138" spans="2:45" x14ac:dyDescent="0.3">
      <c r="B138" s="422"/>
      <c r="C138" s="122"/>
      <c r="D138" s="388" t="str">
        <f>IF(op!D70="","",op!D70)</f>
        <v/>
      </c>
      <c r="E138" s="388" t="str">
        <f>IF(op!E70="","",op!E70)</f>
        <v/>
      </c>
      <c r="F138" s="684" t="str">
        <f>IF(op!F70="","",op!F70+1)</f>
        <v/>
      </c>
      <c r="G138" s="710" t="str">
        <f>IF(op!G70="","",op!G70)</f>
        <v/>
      </c>
      <c r="H138" s="684" t="str">
        <f>IF(op!H70=0,"",op!H70)</f>
        <v/>
      </c>
      <c r="I138" s="389" t="str">
        <f>IF(J138="","",IF(op!I70&gt;LOOKUP(H138,schaal2019,regels2019),op!I70-1,IF(op!I70=LOOKUP(H138,schaal2019,regels2019),op!I70,I70+1)))</f>
        <v/>
      </c>
      <c r="J138" s="711" t="str">
        <f>IF(op!J70="","",op!J70)</f>
        <v/>
      </c>
      <c r="K138" s="472"/>
      <c r="L138" s="1049">
        <f>IF(op!L70="",0,op!L70)</f>
        <v>0</v>
      </c>
      <c r="M138" s="1049">
        <f>IF(op!M70="",0,op!M70)</f>
        <v>0</v>
      </c>
      <c r="N138" s="1051" t="str">
        <f t="shared" si="37"/>
        <v/>
      </c>
      <c r="O138" s="1051" t="str">
        <f t="shared" si="38"/>
        <v/>
      </c>
      <c r="P138" s="1125" t="str">
        <f t="shared" si="39"/>
        <v/>
      </c>
      <c r="Q138" s="472"/>
      <c r="R138" s="923" t="str">
        <f t="shared" si="54"/>
        <v/>
      </c>
      <c r="S138" s="923" t="str">
        <f t="shared" si="40"/>
        <v/>
      </c>
      <c r="T138" s="925" t="str">
        <f t="shared" si="41"/>
        <v/>
      </c>
      <c r="U138" s="545"/>
      <c r="V138" s="712"/>
      <c r="W138" s="957"/>
      <c r="X138" s="1060"/>
      <c r="Y138" s="1095" t="e">
        <f t="shared" si="55"/>
        <v>#VALUE!</v>
      </c>
      <c r="Z138" s="1094">
        <f>tab!$B$50</f>
        <v>0.6</v>
      </c>
      <c r="AA138" s="1126" t="e">
        <f t="shared" si="43"/>
        <v>#VALUE!</v>
      </c>
      <c r="AB138" s="1126" t="e">
        <f t="shared" si="44"/>
        <v>#VALUE!</v>
      </c>
      <c r="AC138" s="1126" t="e">
        <f t="shared" si="45"/>
        <v>#VALUE!</v>
      </c>
      <c r="AD138" s="1128" t="e">
        <f t="shared" si="46"/>
        <v>#VALUE!</v>
      </c>
      <c r="AE138" s="1128">
        <f t="shared" si="47"/>
        <v>0</v>
      </c>
      <c r="AF138" s="1096">
        <f>IF(H138&gt;8,tab!$B$51,tab!$B$54)</f>
        <v>0.5</v>
      </c>
      <c r="AG138" s="1097">
        <f t="shared" si="56"/>
        <v>0</v>
      </c>
      <c r="AH138" s="1093">
        <f t="shared" si="57"/>
        <v>0</v>
      </c>
      <c r="AI138" s="1120" t="e">
        <f>DATE(YEAR(tab!$D$3),MONTH(G138),DAY(G138))&gt;tab!$D$3</f>
        <v>#VALUE!</v>
      </c>
      <c r="AJ138" s="1097" t="e">
        <f t="shared" si="58"/>
        <v>#VALUE!</v>
      </c>
      <c r="AK138" s="1041">
        <f t="shared" si="59"/>
        <v>30</v>
      </c>
      <c r="AL138" s="1041">
        <f t="shared" si="60"/>
        <v>30</v>
      </c>
      <c r="AM138" s="1047">
        <f t="shared" si="61"/>
        <v>0</v>
      </c>
      <c r="AS138" s="727"/>
    </row>
    <row r="139" spans="2:45" x14ac:dyDescent="0.3">
      <c r="B139" s="422"/>
      <c r="C139" s="447"/>
      <c r="D139" s="551"/>
      <c r="E139" s="713"/>
      <c r="F139" s="713"/>
      <c r="G139" s="714"/>
      <c r="H139" s="713"/>
      <c r="I139" s="715"/>
      <c r="J139" s="958">
        <f>SUM(J84:J138)</f>
        <v>1</v>
      </c>
      <c r="L139" s="1050">
        <f t="shared" ref="L139:P139" si="62">SUM(L84:L138)</f>
        <v>0</v>
      </c>
      <c r="M139" s="1050">
        <f t="shared" si="62"/>
        <v>0</v>
      </c>
      <c r="N139" s="1050">
        <f>SUM(N84:N138)</f>
        <v>40</v>
      </c>
      <c r="O139" s="1050">
        <f t="shared" si="62"/>
        <v>0</v>
      </c>
      <c r="P139" s="1050">
        <f t="shared" si="62"/>
        <v>40</v>
      </c>
      <c r="R139" s="959">
        <f t="shared" ref="R139:T139" si="63">SUM(R84:R138)</f>
        <v>72999.626763110296</v>
      </c>
      <c r="S139" s="960">
        <f t="shared" si="63"/>
        <v>1803.5732368896925</v>
      </c>
      <c r="T139" s="959">
        <f t="shared" si="63"/>
        <v>74803.199999999983</v>
      </c>
      <c r="U139" s="450"/>
      <c r="V139" s="425"/>
      <c r="Y139" s="1095"/>
      <c r="Z139" s="1130"/>
      <c r="AA139" s="1098"/>
      <c r="AB139" s="1098"/>
      <c r="AC139" s="1098"/>
      <c r="AG139" s="1099">
        <f>SUM(AG84:AG138)</f>
        <v>0</v>
      </c>
      <c r="AH139" s="1100">
        <f>SUM(AH84:AH138)</f>
        <v>0</v>
      </c>
      <c r="AI139" s="1121"/>
      <c r="AJ139" s="1121"/>
      <c r="AS139" s="727"/>
    </row>
    <row r="140" spans="2:45" x14ac:dyDescent="0.3">
      <c r="B140" s="422"/>
      <c r="H140" s="536"/>
      <c r="K140" s="440"/>
      <c r="Q140" s="440"/>
      <c r="R140" s="690"/>
      <c r="S140" s="716"/>
      <c r="V140" s="425"/>
      <c r="Y140" s="1079"/>
      <c r="Z140" s="1130"/>
      <c r="AA140" s="1098"/>
      <c r="AB140" s="1098"/>
      <c r="AC140" s="1098"/>
      <c r="AG140" s="1099"/>
      <c r="AH140" s="1100"/>
      <c r="AS140" s="727"/>
    </row>
    <row r="141" spans="2:45" ht="12.75" customHeight="1" x14ac:dyDescent="0.3">
      <c r="B141" s="452"/>
      <c r="C141" s="453"/>
      <c r="D141" s="717"/>
      <c r="E141" s="717"/>
      <c r="F141" s="570"/>
      <c r="G141" s="718"/>
      <c r="H141" s="570"/>
      <c r="I141" s="719"/>
      <c r="J141" s="721"/>
      <c r="K141" s="717"/>
      <c r="L141" s="719"/>
      <c r="M141" s="719"/>
      <c r="N141" s="719"/>
      <c r="O141" s="719"/>
      <c r="P141" s="719"/>
      <c r="Q141" s="717"/>
      <c r="R141" s="689"/>
      <c r="S141" s="728"/>
      <c r="T141" s="533"/>
      <c r="U141" s="453"/>
      <c r="V141" s="454"/>
      <c r="Y141" s="1079"/>
      <c r="Z141" s="1130"/>
      <c r="AA141" s="1098"/>
      <c r="AB141" s="1098"/>
      <c r="AC141" s="1098"/>
      <c r="AG141" s="1099"/>
      <c r="AH141" s="1100"/>
    </row>
    <row r="142" spans="2:45" ht="12.75" customHeight="1" x14ac:dyDescent="0.3">
      <c r="H142" s="536"/>
      <c r="K142" s="440"/>
      <c r="Q142" s="440"/>
      <c r="R142" s="690"/>
      <c r="S142" s="716"/>
      <c r="Y142" s="1079"/>
      <c r="Z142" s="1130"/>
      <c r="AA142" s="1098"/>
      <c r="AB142" s="1098"/>
      <c r="AC142" s="1098"/>
      <c r="AG142" s="1099"/>
      <c r="AH142" s="1100"/>
    </row>
    <row r="143" spans="2:45" ht="12.75" customHeight="1" x14ac:dyDescent="0.3">
      <c r="H143" s="536"/>
      <c r="K143" s="440"/>
      <c r="Q143" s="440"/>
      <c r="R143" s="690"/>
      <c r="S143" s="716"/>
      <c r="Y143" s="1079"/>
      <c r="Z143" s="1130"/>
      <c r="AA143" s="1098"/>
      <c r="AB143" s="1098"/>
      <c r="AC143" s="1098"/>
      <c r="AG143" s="1099"/>
      <c r="AH143" s="1100"/>
    </row>
    <row r="144" spans="2:45" ht="12.75" customHeight="1" x14ac:dyDescent="0.3">
      <c r="C144" s="410" t="s">
        <v>180</v>
      </c>
      <c r="E144" s="729" t="str">
        <f>dir!E75</f>
        <v>2022/23</v>
      </c>
      <c r="H144" s="536"/>
      <c r="K144" s="440"/>
      <c r="Q144" s="440"/>
      <c r="R144" s="690"/>
      <c r="S144" s="716"/>
      <c r="Y144" s="1079"/>
      <c r="Z144" s="1130"/>
      <c r="AA144" s="1098"/>
      <c r="AB144" s="1098"/>
      <c r="AC144" s="1098"/>
      <c r="AG144" s="1099"/>
      <c r="AH144" s="1100"/>
    </row>
    <row r="145" spans="3:50" ht="12.75" customHeight="1" x14ac:dyDescent="0.3">
      <c r="C145" s="410" t="s">
        <v>193</v>
      </c>
      <c r="E145" s="729">
        <f>dir!E76</f>
        <v>44835</v>
      </c>
      <c r="H145" s="536"/>
      <c r="K145" s="440"/>
      <c r="Q145" s="440"/>
      <c r="R145" s="690"/>
      <c r="S145" s="716"/>
      <c r="Y145" s="1079"/>
      <c r="Z145" s="1130"/>
      <c r="AA145" s="1098"/>
      <c r="AB145" s="1098"/>
      <c r="AC145" s="1098"/>
      <c r="AG145" s="1099"/>
      <c r="AH145" s="1100"/>
    </row>
    <row r="146" spans="3:50" ht="12.75" customHeight="1" x14ac:dyDescent="0.3">
      <c r="D146" s="398"/>
      <c r="E146" s="398"/>
      <c r="F146" s="399"/>
      <c r="G146" s="400"/>
      <c r="H146" s="401"/>
      <c r="I146" s="401"/>
      <c r="J146" s="402"/>
      <c r="K146" s="440"/>
      <c r="L146" s="402"/>
      <c r="M146" s="402"/>
      <c r="N146" s="402"/>
      <c r="O146" s="402"/>
      <c r="P146" s="402"/>
      <c r="Q146" s="440"/>
      <c r="R146" s="691"/>
      <c r="S146" s="403"/>
      <c r="T146" s="403"/>
      <c r="Y146" s="1079"/>
      <c r="Z146" s="1131"/>
      <c r="AA146" s="1122"/>
      <c r="AB146" s="1122"/>
      <c r="AC146" s="1122"/>
      <c r="AG146" s="1123"/>
      <c r="AH146" s="1124"/>
      <c r="AI146" s="1121"/>
      <c r="AJ146" s="1121"/>
    </row>
    <row r="147" spans="3:50" ht="12.75" customHeight="1" x14ac:dyDescent="0.3">
      <c r="C147" s="682"/>
      <c r="D147" s="937"/>
      <c r="E147" s="938"/>
      <c r="F147" s="939"/>
      <c r="G147" s="940"/>
      <c r="H147" s="941"/>
      <c r="I147" s="941"/>
      <c r="J147" s="942"/>
      <c r="K147" s="943"/>
      <c r="L147" s="941"/>
      <c r="M147" s="941"/>
      <c r="N147" s="941"/>
      <c r="O147" s="941"/>
      <c r="P147" s="941"/>
      <c r="Q147" s="943"/>
      <c r="R147" s="943"/>
      <c r="S147" s="944"/>
      <c r="T147" s="945"/>
      <c r="U147" s="438"/>
      <c r="V147" s="1063"/>
      <c r="W147" s="1063"/>
      <c r="AN147" s="1044"/>
      <c r="AO147" s="1044"/>
      <c r="AP147" s="1044"/>
      <c r="AQ147" s="1044"/>
      <c r="AR147" s="953"/>
      <c r="AS147" s="693"/>
      <c r="AT147" s="695"/>
      <c r="AU147" s="707"/>
      <c r="AV147" s="694"/>
    </row>
    <row r="148" spans="3:50" ht="12.75" customHeight="1" x14ac:dyDescent="0.3">
      <c r="C148" s="125"/>
      <c r="D148" s="1033" t="s">
        <v>284</v>
      </c>
      <c r="E148" s="883"/>
      <c r="F148" s="883"/>
      <c r="G148" s="883"/>
      <c r="H148" s="883"/>
      <c r="I148" s="883"/>
      <c r="J148" s="883"/>
      <c r="K148" s="902"/>
      <c r="L148" s="1033" t="s">
        <v>502</v>
      </c>
      <c r="M148" s="1035"/>
      <c r="N148" s="1033"/>
      <c r="O148" s="1033"/>
      <c r="P148" s="1133"/>
      <c r="Q148" s="902"/>
      <c r="R148" s="1033" t="s">
        <v>503</v>
      </c>
      <c r="S148" s="1036"/>
      <c r="T148" s="1134"/>
      <c r="U148" s="1135"/>
      <c r="V148" s="1064"/>
      <c r="W148" s="1064"/>
      <c r="X148" s="384"/>
      <c r="Y148" s="1063"/>
      <c r="Z148" s="1136"/>
      <c r="AD148" s="1137"/>
      <c r="AE148" s="1137"/>
      <c r="AF148" s="1064"/>
      <c r="AG148" s="1090"/>
      <c r="AH148" s="1091"/>
      <c r="AM148" s="1041"/>
      <c r="AU148" s="410"/>
      <c r="AV148" s="410"/>
      <c r="AW148" s="725"/>
      <c r="AX148" s="725"/>
    </row>
    <row r="149" spans="3:50" ht="12.75" customHeight="1" x14ac:dyDescent="0.3">
      <c r="C149" s="125"/>
      <c r="D149" s="877" t="s">
        <v>494</v>
      </c>
      <c r="E149" s="877" t="s">
        <v>181</v>
      </c>
      <c r="F149" s="904" t="s">
        <v>137</v>
      </c>
      <c r="G149" s="905" t="s">
        <v>273</v>
      </c>
      <c r="H149" s="904" t="s">
        <v>206</v>
      </c>
      <c r="I149" s="904" t="s">
        <v>225</v>
      </c>
      <c r="J149" s="906" t="s">
        <v>140</v>
      </c>
      <c r="K149" s="881"/>
      <c r="L149" s="907" t="s">
        <v>479</v>
      </c>
      <c r="M149" s="907" t="s">
        <v>480</v>
      </c>
      <c r="N149" s="907" t="s">
        <v>478</v>
      </c>
      <c r="O149" s="907" t="s">
        <v>479</v>
      </c>
      <c r="P149" s="1138" t="s">
        <v>504</v>
      </c>
      <c r="Q149" s="881"/>
      <c r="R149" s="1037" t="s">
        <v>192</v>
      </c>
      <c r="S149" s="909" t="s">
        <v>505</v>
      </c>
      <c r="T149" s="910" t="s">
        <v>192</v>
      </c>
      <c r="U149" s="1139"/>
      <c r="V149" s="1101"/>
      <c r="W149" s="1101"/>
      <c r="X149" s="386"/>
      <c r="Y149" s="915" t="s">
        <v>303</v>
      </c>
      <c r="Z149" s="1127" t="s">
        <v>497</v>
      </c>
      <c r="AA149" s="1101" t="s">
        <v>498</v>
      </c>
      <c r="AB149" s="1101" t="s">
        <v>498</v>
      </c>
      <c r="AC149" s="1101" t="s">
        <v>495</v>
      </c>
      <c r="AD149" s="1048" t="s">
        <v>488</v>
      </c>
      <c r="AE149" s="1048" t="s">
        <v>489</v>
      </c>
      <c r="AF149" s="1101"/>
      <c r="AG149" s="1092" t="s">
        <v>297</v>
      </c>
      <c r="AH149" s="1091" t="s">
        <v>427</v>
      </c>
      <c r="AI149" s="916" t="s">
        <v>278</v>
      </c>
      <c r="AJ149" s="916" t="s">
        <v>279</v>
      </c>
      <c r="AK149" s="1059" t="s">
        <v>139</v>
      </c>
      <c r="AL149" s="1059" t="s">
        <v>204</v>
      </c>
      <c r="AM149" s="1058" t="s">
        <v>188</v>
      </c>
      <c r="AU149" s="410"/>
      <c r="AV149" s="410"/>
      <c r="AW149" s="725"/>
      <c r="AX149" s="726"/>
    </row>
    <row r="150" spans="3:50" ht="12.75" customHeight="1" x14ac:dyDescent="0.3">
      <c r="C150" s="125"/>
      <c r="D150" s="883"/>
      <c r="E150" s="877"/>
      <c r="F150" s="904" t="s">
        <v>138</v>
      </c>
      <c r="G150" s="905" t="s">
        <v>274</v>
      </c>
      <c r="H150" s="904"/>
      <c r="I150" s="904"/>
      <c r="J150" s="906" t="s">
        <v>277</v>
      </c>
      <c r="K150" s="881"/>
      <c r="L150" s="907" t="s">
        <v>482</v>
      </c>
      <c r="M150" s="907" t="s">
        <v>483</v>
      </c>
      <c r="N150" s="907" t="s">
        <v>481</v>
      </c>
      <c r="O150" s="907" t="s">
        <v>493</v>
      </c>
      <c r="P150" s="1138" t="s">
        <v>269</v>
      </c>
      <c r="Q150" s="881"/>
      <c r="R150" s="908" t="s">
        <v>506</v>
      </c>
      <c r="S150" s="909" t="s">
        <v>484</v>
      </c>
      <c r="T150" s="910" t="s">
        <v>269</v>
      </c>
      <c r="U150" s="887"/>
      <c r="V150" s="1063"/>
      <c r="W150" s="1063"/>
      <c r="X150" s="129"/>
      <c r="Y150" s="915" t="s">
        <v>197</v>
      </c>
      <c r="Z150" s="918">
        <f>tab!$B$50</f>
        <v>0.6</v>
      </c>
      <c r="AA150" s="1101" t="s">
        <v>499</v>
      </c>
      <c r="AB150" s="1101" t="s">
        <v>500</v>
      </c>
      <c r="AC150" s="1101" t="s">
        <v>501</v>
      </c>
      <c r="AD150" s="1048" t="s">
        <v>491</v>
      </c>
      <c r="AE150" s="1048" t="s">
        <v>491</v>
      </c>
      <c r="AG150" s="1092"/>
      <c r="AH150" s="1093" t="s">
        <v>224</v>
      </c>
      <c r="AI150" s="1048" t="s">
        <v>275</v>
      </c>
      <c r="AJ150" s="1048" t="s">
        <v>275</v>
      </c>
      <c r="AK150" s="1059"/>
      <c r="AL150" s="1059" t="s">
        <v>188</v>
      </c>
      <c r="AM150" s="1058"/>
      <c r="AU150" s="410"/>
      <c r="AV150" s="410"/>
      <c r="AX150" s="709"/>
    </row>
    <row r="151" spans="3:50" ht="12.75" customHeight="1" x14ac:dyDescent="0.3">
      <c r="C151" s="122"/>
      <c r="D151" s="883"/>
      <c r="E151" s="883"/>
      <c r="F151" s="946"/>
      <c r="G151" s="947"/>
      <c r="H151" s="904"/>
      <c r="I151" s="904"/>
      <c r="J151" s="906"/>
      <c r="K151" s="883"/>
      <c r="L151" s="907"/>
      <c r="M151" s="907"/>
      <c r="N151" s="907"/>
      <c r="O151" s="907"/>
      <c r="P151" s="907"/>
      <c r="Q151" s="883"/>
      <c r="R151" s="948"/>
      <c r="S151" s="909"/>
      <c r="T151" s="949"/>
      <c r="U151" s="443"/>
      <c r="V151" s="1063"/>
      <c r="W151" s="1063"/>
      <c r="Y151" s="915"/>
      <c r="Z151" s="1064"/>
      <c r="AA151" s="1064"/>
      <c r="AB151" s="1064"/>
      <c r="AC151" s="1064"/>
      <c r="AG151" s="1092"/>
      <c r="AH151" s="1093"/>
      <c r="AM151" s="1058"/>
      <c r="AU151" s="410"/>
      <c r="AV151" s="410"/>
      <c r="AX151" s="709"/>
    </row>
    <row r="152" spans="3:50" ht="12.75" customHeight="1" x14ac:dyDescent="0.3">
      <c r="C152" s="122"/>
      <c r="D152" s="388" t="str">
        <f>IF(op!D84="","",op!D84)</f>
        <v/>
      </c>
      <c r="E152" s="388" t="str">
        <f>IF(op!E84=0,"",op!E84)</f>
        <v>nn</v>
      </c>
      <c r="F152" s="684" t="str">
        <f>IF(op!F84="","",op!F84+1)</f>
        <v/>
      </c>
      <c r="G152" s="710">
        <f>IF(op!G84="","",op!G84)</f>
        <v>28491</v>
      </c>
      <c r="H152" s="684" t="str">
        <f>IF(op!H84=0,"",op!H84)</f>
        <v>L11</v>
      </c>
      <c r="I152" s="389">
        <f>IF(J152="","",(IF(op!I84+1&gt;LOOKUP(H152,schaal2019,regels2019),op!I84,op!I84+1)))</f>
        <v>12</v>
      </c>
      <c r="J152" s="711">
        <f>IF(op!J84="","",op!J84)</f>
        <v>1</v>
      </c>
      <c r="K152" s="472"/>
      <c r="L152" s="1049">
        <f>IF(op!L84="","",op!L84)</f>
        <v>0</v>
      </c>
      <c r="M152" s="1049">
        <f>IF(op!M84="","",op!M84)</f>
        <v>0</v>
      </c>
      <c r="N152" s="1051">
        <f t="shared" ref="N152:N206" si="64">IF(J152="","",IF((J152*40)&gt;40,40,((J152*40))))</f>
        <v>40</v>
      </c>
      <c r="O152" s="1051">
        <f t="shared" ref="O152:O206" si="65">IF(J152="","",IF(I152&lt;4,(40*J152),0))</f>
        <v>0</v>
      </c>
      <c r="P152" s="1125">
        <f t="shared" ref="P152:P206" si="66">IF(J152="","",(SUM(L152:O152)))</f>
        <v>40</v>
      </c>
      <c r="Q152" s="472"/>
      <c r="R152" s="923">
        <f>IF(J152="","",(((1659*J152)-P152)*AB152))</f>
        <v>76166.191681735989</v>
      </c>
      <c r="S152" s="923">
        <f t="shared" ref="S152:S206" si="67">IF(J152="","",(P152*AC152)+(AA152*AD152)+((AE152*AA152*(1-AF152))))</f>
        <v>1881.8083182640146</v>
      </c>
      <c r="T152" s="925">
        <f t="shared" ref="T152:T206" si="68">IF(J152="","",(R152+S152))</f>
        <v>78048</v>
      </c>
      <c r="U152" s="545"/>
      <c r="V152" s="1103"/>
      <c r="W152" s="1103"/>
      <c r="X152" s="1060"/>
      <c r="Y152" s="1095">
        <f t="shared" ref="Y152:Y183" si="69">ROUND(5/12*VLOOKUP(H152,salaris2021,I152+1,FALSE)+7/12*VLOOKUP(H152,salaris2021,I152+1,FALSE),0)</f>
        <v>4065</v>
      </c>
      <c r="Z152" s="1094">
        <f>tab!$B$50</f>
        <v>0.6</v>
      </c>
      <c r="AA152" s="1126">
        <f t="shared" ref="AA152:AA206" si="70">(Y152*12/1659)</f>
        <v>29.403254972875224</v>
      </c>
      <c r="AB152" s="1126">
        <f t="shared" ref="AB152:AB206" si="71">(Y152*12*(1+Z152))/1659</f>
        <v>47.045207956600365</v>
      </c>
      <c r="AC152" s="1126">
        <f t="shared" ref="AC152:AC206" si="72">AB152-AA152</f>
        <v>17.64195298372514</v>
      </c>
      <c r="AD152" s="1128">
        <f t="shared" ref="AD152:AD206" si="73">(N152+O152)</f>
        <v>40</v>
      </c>
      <c r="AE152" s="1128">
        <f t="shared" ref="AE152:AE206" si="74">(L152+M152)</f>
        <v>0</v>
      </c>
      <c r="AF152" s="1096">
        <f>IF(H152&gt;8,tab!$B$51,tab!$B$54)</f>
        <v>0.5</v>
      </c>
      <c r="AG152" s="1097">
        <f t="shared" ref="AG152:AG183" si="75">IF(F152&lt;25,0,IF(F152=25,25,IF(F152&lt;40,0,IF(F152=40,40,IF(F152&gt;=40,0)))))</f>
        <v>0</v>
      </c>
      <c r="AH152" s="1093">
        <f t="shared" ref="AH152:AH183" si="76">IF(AG152=25,(Y152*1.08*(J152)/2),IF(AG152=40,(Y152*1.08*(J152)),IF(AG152=0,0)))</f>
        <v>0</v>
      </c>
      <c r="AI152" s="1120" t="b">
        <f>DATE(YEAR(tab!$E$3),MONTH(G152),DAY(G152))&gt;tab!$E$3</f>
        <v>0</v>
      </c>
      <c r="AJ152" s="1097">
        <f t="shared" ref="AJ152:AJ183" si="77">YEAR($E$145)-YEAR(G152)-AI152</f>
        <v>44</v>
      </c>
      <c r="AK152" s="1041">
        <f t="shared" ref="AK152:AK183" si="78">IF((G152=""),30,AJ152)</f>
        <v>44</v>
      </c>
      <c r="AL152" s="1041">
        <f t="shared" ref="AL152:AL183" si="79">IF((AK152)&gt;50,50,(AK152))</f>
        <v>44</v>
      </c>
      <c r="AM152" s="1047">
        <f t="shared" ref="AM152:AM183" si="80">(AL152*(SUM(J152:J152)))</f>
        <v>44</v>
      </c>
      <c r="AS152" s="727"/>
    </row>
    <row r="153" spans="3:50" ht="12.75" customHeight="1" x14ac:dyDescent="0.3">
      <c r="C153" s="122"/>
      <c r="D153" s="388" t="str">
        <f>IF(op!D85="","",op!D85)</f>
        <v/>
      </c>
      <c r="E153" s="388" t="str">
        <f>IF(op!E85=0,"",op!E85)</f>
        <v/>
      </c>
      <c r="F153" s="684" t="str">
        <f>IF(op!F85="","",op!F85+1)</f>
        <v/>
      </c>
      <c r="G153" s="710" t="str">
        <f>IF(op!G85="","",op!G85)</f>
        <v/>
      </c>
      <c r="H153" s="684" t="str">
        <f>IF(op!H85=0,"",op!H85)</f>
        <v/>
      </c>
      <c r="I153" s="389" t="str">
        <f>IF(J153="","",(IF(op!I85+1&gt;LOOKUP(H153,schaal2019,regels2019),op!I85,op!I85+1)))</f>
        <v/>
      </c>
      <c r="J153" s="711" t="str">
        <f>IF(op!J85="","",op!J85)</f>
        <v/>
      </c>
      <c r="K153" s="472"/>
      <c r="L153" s="1049">
        <f>IF(op!L85="","",op!L85)</f>
        <v>0</v>
      </c>
      <c r="M153" s="1049">
        <f>IF(op!M85="","",op!M85)</f>
        <v>0</v>
      </c>
      <c r="N153" s="1051" t="str">
        <f t="shared" si="64"/>
        <v/>
      </c>
      <c r="O153" s="1051" t="str">
        <f t="shared" si="65"/>
        <v/>
      </c>
      <c r="P153" s="1125" t="str">
        <f t="shared" si="66"/>
        <v/>
      </c>
      <c r="Q153" s="472"/>
      <c r="R153" s="923" t="str">
        <f>IF(J153="","",(((1659*J153)-P153)*AB153))</f>
        <v/>
      </c>
      <c r="S153" s="923" t="str">
        <f t="shared" si="67"/>
        <v/>
      </c>
      <c r="T153" s="925" t="str">
        <f t="shared" si="68"/>
        <v/>
      </c>
      <c r="U153" s="545"/>
      <c r="V153" s="1103"/>
      <c r="W153" s="1103"/>
      <c r="X153" s="1060"/>
      <c r="Y153" s="1095" t="e">
        <f t="shared" si="69"/>
        <v>#VALUE!</v>
      </c>
      <c r="Z153" s="1094">
        <f>tab!$B$50</f>
        <v>0.6</v>
      </c>
      <c r="AA153" s="1126" t="e">
        <f t="shared" si="70"/>
        <v>#VALUE!</v>
      </c>
      <c r="AB153" s="1126" t="e">
        <f t="shared" si="71"/>
        <v>#VALUE!</v>
      </c>
      <c r="AC153" s="1126" t="e">
        <f t="shared" si="72"/>
        <v>#VALUE!</v>
      </c>
      <c r="AD153" s="1128" t="e">
        <f t="shared" si="73"/>
        <v>#VALUE!</v>
      </c>
      <c r="AE153" s="1128">
        <f t="shared" si="74"/>
        <v>0</v>
      </c>
      <c r="AF153" s="1096">
        <f>IF(H153&gt;8,tab!$B$51,tab!$B$54)</f>
        <v>0.5</v>
      </c>
      <c r="AG153" s="1097">
        <f t="shared" si="75"/>
        <v>0</v>
      </c>
      <c r="AH153" s="1093">
        <f t="shared" si="76"/>
        <v>0</v>
      </c>
      <c r="AI153" s="1120" t="e">
        <f>DATE(YEAR(tab!$E$3),MONTH(G153),DAY(G153))&gt;tab!$E$3</f>
        <v>#VALUE!</v>
      </c>
      <c r="AJ153" s="1097" t="e">
        <f t="shared" si="77"/>
        <v>#VALUE!</v>
      </c>
      <c r="AK153" s="1041">
        <f t="shared" si="78"/>
        <v>30</v>
      </c>
      <c r="AL153" s="1041">
        <f t="shared" si="79"/>
        <v>30</v>
      </c>
      <c r="AM153" s="1047">
        <f t="shared" si="80"/>
        <v>0</v>
      </c>
      <c r="AS153" s="727"/>
    </row>
    <row r="154" spans="3:50" ht="12.75" customHeight="1" x14ac:dyDescent="0.3">
      <c r="C154" s="122"/>
      <c r="D154" s="388" t="str">
        <f>IF(op!D86="","",op!D86)</f>
        <v/>
      </c>
      <c r="E154" s="388" t="str">
        <f>IF(op!E86=0,"",op!E86)</f>
        <v/>
      </c>
      <c r="F154" s="684" t="str">
        <f>IF(op!F86="","",op!F86+1)</f>
        <v/>
      </c>
      <c r="G154" s="710" t="str">
        <f>IF(op!G86="","",op!G86)</f>
        <v/>
      </c>
      <c r="H154" s="684" t="str">
        <f>IF(op!H86=0,"",op!H86)</f>
        <v/>
      </c>
      <c r="I154" s="389" t="str">
        <f>IF(J154="","",(IF(op!I86+1&gt;LOOKUP(H154,schaal2019,regels2019),op!I86,op!I86+1)))</f>
        <v/>
      </c>
      <c r="J154" s="711" t="str">
        <f>IF(op!J86="","",op!J86)</f>
        <v/>
      </c>
      <c r="K154" s="472"/>
      <c r="L154" s="1049">
        <f>IF(op!L86="","",op!L86)</f>
        <v>0</v>
      </c>
      <c r="M154" s="1049">
        <f>IF(op!M86="","",op!M86)</f>
        <v>0</v>
      </c>
      <c r="N154" s="1051" t="str">
        <f t="shared" si="64"/>
        <v/>
      </c>
      <c r="O154" s="1051" t="str">
        <f t="shared" si="65"/>
        <v/>
      </c>
      <c r="P154" s="1125" t="str">
        <f t="shared" si="66"/>
        <v/>
      </c>
      <c r="Q154" s="472"/>
      <c r="R154" s="923" t="str">
        <f t="shared" ref="R154:R206" si="81">IF(J154="","",(((1659*J154)-P154)*AB154))</f>
        <v/>
      </c>
      <c r="S154" s="923" t="str">
        <f t="shared" si="67"/>
        <v/>
      </c>
      <c r="T154" s="925" t="str">
        <f t="shared" si="68"/>
        <v/>
      </c>
      <c r="U154" s="545"/>
      <c r="V154" s="1103"/>
      <c r="W154" s="1103"/>
      <c r="X154" s="1060"/>
      <c r="Y154" s="1095" t="e">
        <f t="shared" si="69"/>
        <v>#VALUE!</v>
      </c>
      <c r="Z154" s="1094">
        <f>tab!$B$50</f>
        <v>0.6</v>
      </c>
      <c r="AA154" s="1126" t="e">
        <f t="shared" si="70"/>
        <v>#VALUE!</v>
      </c>
      <c r="AB154" s="1126" t="e">
        <f t="shared" si="71"/>
        <v>#VALUE!</v>
      </c>
      <c r="AC154" s="1126" t="e">
        <f t="shared" si="72"/>
        <v>#VALUE!</v>
      </c>
      <c r="AD154" s="1128" t="e">
        <f t="shared" si="73"/>
        <v>#VALUE!</v>
      </c>
      <c r="AE154" s="1128">
        <f t="shared" si="74"/>
        <v>0</v>
      </c>
      <c r="AF154" s="1096">
        <f>IF(H154&gt;8,tab!$B$51,tab!$B$54)</f>
        <v>0.5</v>
      </c>
      <c r="AG154" s="1097">
        <f t="shared" si="75"/>
        <v>0</v>
      </c>
      <c r="AH154" s="1093">
        <f t="shared" si="76"/>
        <v>0</v>
      </c>
      <c r="AI154" s="1120" t="e">
        <f>DATE(YEAR(tab!$E$3),MONTH(G154),DAY(G154))&gt;tab!$E$3</f>
        <v>#VALUE!</v>
      </c>
      <c r="AJ154" s="1097" t="e">
        <f t="shared" si="77"/>
        <v>#VALUE!</v>
      </c>
      <c r="AK154" s="1041">
        <f t="shared" si="78"/>
        <v>30</v>
      </c>
      <c r="AL154" s="1041">
        <f t="shared" si="79"/>
        <v>30</v>
      </c>
      <c r="AM154" s="1047">
        <f t="shared" si="80"/>
        <v>0</v>
      </c>
      <c r="AS154" s="727"/>
    </row>
    <row r="155" spans="3:50" ht="12.75" customHeight="1" x14ac:dyDescent="0.3">
      <c r="C155" s="122"/>
      <c r="D155" s="388" t="str">
        <f>IF(op!D87="","",op!D87)</f>
        <v/>
      </c>
      <c r="E155" s="388" t="str">
        <f>IF(op!E87=0,"",op!E87)</f>
        <v/>
      </c>
      <c r="F155" s="684" t="str">
        <f>IF(op!F87="","",op!F87+1)</f>
        <v/>
      </c>
      <c r="G155" s="710" t="str">
        <f>IF(op!G87="","",op!G87)</f>
        <v/>
      </c>
      <c r="H155" s="684" t="str">
        <f>IF(op!H87=0,"",op!H87)</f>
        <v/>
      </c>
      <c r="I155" s="389" t="str">
        <f>IF(J155="","",(IF(op!I87+1&gt;LOOKUP(H155,schaal2019,regels2019),op!I87,op!I87+1)))</f>
        <v/>
      </c>
      <c r="J155" s="711" t="str">
        <f>IF(op!J87="","",op!J87)</f>
        <v/>
      </c>
      <c r="K155" s="472"/>
      <c r="L155" s="1049">
        <f>IF(op!L87="","",op!L87)</f>
        <v>0</v>
      </c>
      <c r="M155" s="1049">
        <f>IF(op!M87="","",op!M87)</f>
        <v>0</v>
      </c>
      <c r="N155" s="1051" t="str">
        <f t="shared" si="64"/>
        <v/>
      </c>
      <c r="O155" s="1051" t="str">
        <f t="shared" si="65"/>
        <v/>
      </c>
      <c r="P155" s="1125" t="str">
        <f t="shared" si="66"/>
        <v/>
      </c>
      <c r="Q155" s="472"/>
      <c r="R155" s="923" t="str">
        <f t="shared" si="81"/>
        <v/>
      </c>
      <c r="S155" s="923" t="str">
        <f t="shared" si="67"/>
        <v/>
      </c>
      <c r="T155" s="925" t="str">
        <f t="shared" si="68"/>
        <v/>
      </c>
      <c r="U155" s="545"/>
      <c r="V155" s="1103"/>
      <c r="W155" s="1103"/>
      <c r="X155" s="1060"/>
      <c r="Y155" s="1095" t="e">
        <f t="shared" si="69"/>
        <v>#VALUE!</v>
      </c>
      <c r="Z155" s="1094">
        <f>tab!$B$50</f>
        <v>0.6</v>
      </c>
      <c r="AA155" s="1126" t="e">
        <f t="shared" si="70"/>
        <v>#VALUE!</v>
      </c>
      <c r="AB155" s="1126" t="e">
        <f t="shared" si="71"/>
        <v>#VALUE!</v>
      </c>
      <c r="AC155" s="1126" t="e">
        <f t="shared" si="72"/>
        <v>#VALUE!</v>
      </c>
      <c r="AD155" s="1128" t="e">
        <f t="shared" si="73"/>
        <v>#VALUE!</v>
      </c>
      <c r="AE155" s="1128">
        <f t="shared" si="74"/>
        <v>0</v>
      </c>
      <c r="AF155" s="1096">
        <f>IF(H155&gt;8,tab!$B$51,tab!$B$54)</f>
        <v>0.5</v>
      </c>
      <c r="AG155" s="1097">
        <f t="shared" si="75"/>
        <v>0</v>
      </c>
      <c r="AH155" s="1093">
        <f t="shared" si="76"/>
        <v>0</v>
      </c>
      <c r="AI155" s="1120" t="e">
        <f>DATE(YEAR(tab!$E$3),MONTH(G155),DAY(G155))&gt;tab!$E$3</f>
        <v>#VALUE!</v>
      </c>
      <c r="AJ155" s="1097" t="e">
        <f t="shared" si="77"/>
        <v>#VALUE!</v>
      </c>
      <c r="AK155" s="1041">
        <f t="shared" si="78"/>
        <v>30</v>
      </c>
      <c r="AL155" s="1041">
        <f t="shared" si="79"/>
        <v>30</v>
      </c>
      <c r="AM155" s="1047">
        <f t="shared" si="80"/>
        <v>0</v>
      </c>
      <c r="AS155" s="727"/>
    </row>
    <row r="156" spans="3:50" ht="12.75" customHeight="1" x14ac:dyDescent="0.3">
      <c r="C156" s="122"/>
      <c r="D156" s="388" t="str">
        <f>IF(op!D88="","",op!D88)</f>
        <v/>
      </c>
      <c r="E156" s="388" t="str">
        <f>IF(op!E88=0,"",op!E88)</f>
        <v/>
      </c>
      <c r="F156" s="684" t="str">
        <f>IF(op!F88="","",op!F88+1)</f>
        <v/>
      </c>
      <c r="G156" s="710" t="str">
        <f>IF(op!G88="","",op!G88)</f>
        <v/>
      </c>
      <c r="H156" s="684" t="str">
        <f>IF(op!H88=0,"",op!H88)</f>
        <v/>
      </c>
      <c r="I156" s="389" t="str">
        <f>IF(J156="","",(IF(op!I88+1&gt;LOOKUP(H156,schaal2019,regels2019),op!I88,op!I88+1)))</f>
        <v/>
      </c>
      <c r="J156" s="711" t="str">
        <f>IF(op!J88="","",op!J88)</f>
        <v/>
      </c>
      <c r="K156" s="472"/>
      <c r="L156" s="1049">
        <f>IF(op!L88="","",op!L88)</f>
        <v>0</v>
      </c>
      <c r="M156" s="1049">
        <f>IF(op!M88="","",op!M88)</f>
        <v>0</v>
      </c>
      <c r="N156" s="1051" t="str">
        <f t="shared" si="64"/>
        <v/>
      </c>
      <c r="O156" s="1051" t="str">
        <f t="shared" si="65"/>
        <v/>
      </c>
      <c r="P156" s="1125" t="str">
        <f t="shared" si="66"/>
        <v/>
      </c>
      <c r="Q156" s="472"/>
      <c r="R156" s="923" t="str">
        <f t="shared" si="81"/>
        <v/>
      </c>
      <c r="S156" s="923" t="str">
        <f t="shared" si="67"/>
        <v/>
      </c>
      <c r="T156" s="925" t="str">
        <f t="shared" si="68"/>
        <v/>
      </c>
      <c r="U156" s="545"/>
      <c r="V156" s="1103"/>
      <c r="W156" s="1103"/>
      <c r="X156" s="1060"/>
      <c r="Y156" s="1095" t="e">
        <f t="shared" si="69"/>
        <v>#VALUE!</v>
      </c>
      <c r="Z156" s="1094">
        <f>tab!$B$50</f>
        <v>0.6</v>
      </c>
      <c r="AA156" s="1126" t="e">
        <f t="shared" si="70"/>
        <v>#VALUE!</v>
      </c>
      <c r="AB156" s="1126" t="e">
        <f t="shared" si="71"/>
        <v>#VALUE!</v>
      </c>
      <c r="AC156" s="1126" t="e">
        <f t="shared" si="72"/>
        <v>#VALUE!</v>
      </c>
      <c r="AD156" s="1128" t="e">
        <f t="shared" si="73"/>
        <v>#VALUE!</v>
      </c>
      <c r="AE156" s="1128">
        <f t="shared" si="74"/>
        <v>0</v>
      </c>
      <c r="AF156" s="1096">
        <f>IF(H156&gt;8,tab!$B$51,tab!$B$54)</f>
        <v>0.5</v>
      </c>
      <c r="AG156" s="1097">
        <f t="shared" si="75"/>
        <v>0</v>
      </c>
      <c r="AH156" s="1093">
        <f t="shared" si="76"/>
        <v>0</v>
      </c>
      <c r="AI156" s="1120" t="e">
        <f>DATE(YEAR(tab!$E$3),MONTH(G156),DAY(G156))&gt;tab!$E$3</f>
        <v>#VALUE!</v>
      </c>
      <c r="AJ156" s="1097" t="e">
        <f t="shared" si="77"/>
        <v>#VALUE!</v>
      </c>
      <c r="AK156" s="1041">
        <f t="shared" si="78"/>
        <v>30</v>
      </c>
      <c r="AL156" s="1041">
        <f t="shared" si="79"/>
        <v>30</v>
      </c>
      <c r="AM156" s="1047">
        <f t="shared" si="80"/>
        <v>0</v>
      </c>
      <c r="AS156" s="727"/>
    </row>
    <row r="157" spans="3:50" ht="12.75" customHeight="1" x14ac:dyDescent="0.3">
      <c r="C157" s="122"/>
      <c r="D157" s="388" t="str">
        <f>IF(op!D89="","",op!D89)</f>
        <v/>
      </c>
      <c r="E157" s="388" t="str">
        <f>IF(op!E89=0,"",op!E89)</f>
        <v/>
      </c>
      <c r="F157" s="684" t="str">
        <f>IF(op!F89="","",op!F89+1)</f>
        <v/>
      </c>
      <c r="G157" s="710" t="str">
        <f>IF(op!G89="","",op!G89)</f>
        <v/>
      </c>
      <c r="H157" s="684" t="str">
        <f>IF(op!H89=0,"",op!H89)</f>
        <v/>
      </c>
      <c r="I157" s="389" t="str">
        <f>IF(J157="","",(IF(op!I89+1&gt;LOOKUP(H157,schaal2019,regels2019),op!I89,op!I89+1)))</f>
        <v/>
      </c>
      <c r="J157" s="711" t="str">
        <f>IF(op!J89="","",op!J89)</f>
        <v/>
      </c>
      <c r="K157" s="472"/>
      <c r="L157" s="1049">
        <f>IF(op!L89="","",op!L89)</f>
        <v>0</v>
      </c>
      <c r="M157" s="1049">
        <f>IF(op!M89="","",op!M89)</f>
        <v>0</v>
      </c>
      <c r="N157" s="1051" t="str">
        <f t="shared" si="64"/>
        <v/>
      </c>
      <c r="O157" s="1051" t="str">
        <f t="shared" si="65"/>
        <v/>
      </c>
      <c r="P157" s="1125" t="str">
        <f t="shared" si="66"/>
        <v/>
      </c>
      <c r="Q157" s="472"/>
      <c r="R157" s="923" t="str">
        <f t="shared" si="81"/>
        <v/>
      </c>
      <c r="S157" s="923" t="str">
        <f t="shared" si="67"/>
        <v/>
      </c>
      <c r="T157" s="925" t="str">
        <f t="shared" si="68"/>
        <v/>
      </c>
      <c r="U157" s="545"/>
      <c r="V157" s="1103"/>
      <c r="W157" s="1103"/>
      <c r="X157" s="1060"/>
      <c r="Y157" s="1095" t="e">
        <f t="shared" si="69"/>
        <v>#VALUE!</v>
      </c>
      <c r="Z157" s="1094">
        <f>tab!$B$50</f>
        <v>0.6</v>
      </c>
      <c r="AA157" s="1126" t="e">
        <f t="shared" si="70"/>
        <v>#VALUE!</v>
      </c>
      <c r="AB157" s="1126" t="e">
        <f t="shared" si="71"/>
        <v>#VALUE!</v>
      </c>
      <c r="AC157" s="1126" t="e">
        <f t="shared" si="72"/>
        <v>#VALUE!</v>
      </c>
      <c r="AD157" s="1128" t="e">
        <f t="shared" si="73"/>
        <v>#VALUE!</v>
      </c>
      <c r="AE157" s="1128">
        <f t="shared" si="74"/>
        <v>0</v>
      </c>
      <c r="AF157" s="1096">
        <f>IF(H157&gt;8,tab!$B$51,tab!$B$54)</f>
        <v>0.5</v>
      </c>
      <c r="AG157" s="1097">
        <f t="shared" si="75"/>
        <v>0</v>
      </c>
      <c r="AH157" s="1093">
        <f t="shared" si="76"/>
        <v>0</v>
      </c>
      <c r="AI157" s="1120" t="e">
        <f>DATE(YEAR(tab!$E$3),MONTH(G157),DAY(G157))&gt;tab!$E$3</f>
        <v>#VALUE!</v>
      </c>
      <c r="AJ157" s="1097" t="e">
        <f t="shared" si="77"/>
        <v>#VALUE!</v>
      </c>
      <c r="AK157" s="1041">
        <f t="shared" si="78"/>
        <v>30</v>
      </c>
      <c r="AL157" s="1041">
        <f t="shared" si="79"/>
        <v>30</v>
      </c>
      <c r="AM157" s="1047">
        <f t="shared" si="80"/>
        <v>0</v>
      </c>
      <c r="AS157" s="727"/>
    </row>
    <row r="158" spans="3:50" ht="12.75" customHeight="1" x14ac:dyDescent="0.3">
      <c r="C158" s="122"/>
      <c r="D158" s="388" t="str">
        <f>IF(op!D90="","",op!D90)</f>
        <v/>
      </c>
      <c r="E158" s="388" t="str">
        <f>IF(op!E90=0,"",op!E90)</f>
        <v/>
      </c>
      <c r="F158" s="684" t="str">
        <f>IF(op!F90="","",op!F90+1)</f>
        <v/>
      </c>
      <c r="G158" s="710" t="str">
        <f>IF(op!G90="","",op!G90)</f>
        <v/>
      </c>
      <c r="H158" s="684" t="str">
        <f>IF(op!H90=0,"",op!H90)</f>
        <v/>
      </c>
      <c r="I158" s="389" t="str">
        <f>IF(J158="","",(IF(op!I90+1&gt;LOOKUP(H158,schaal2019,regels2019),op!I90,op!I90+1)))</f>
        <v/>
      </c>
      <c r="J158" s="711" t="str">
        <f>IF(op!J90="","",op!J90)</f>
        <v/>
      </c>
      <c r="K158" s="472"/>
      <c r="L158" s="1049">
        <f>IF(op!L90="","",op!L90)</f>
        <v>0</v>
      </c>
      <c r="M158" s="1049">
        <f>IF(op!M90="","",op!M90)</f>
        <v>0</v>
      </c>
      <c r="N158" s="1051" t="str">
        <f t="shared" si="64"/>
        <v/>
      </c>
      <c r="O158" s="1051" t="str">
        <f t="shared" si="65"/>
        <v/>
      </c>
      <c r="P158" s="1125" t="str">
        <f t="shared" si="66"/>
        <v/>
      </c>
      <c r="Q158" s="472"/>
      <c r="R158" s="923" t="str">
        <f t="shared" si="81"/>
        <v/>
      </c>
      <c r="S158" s="923" t="str">
        <f t="shared" si="67"/>
        <v/>
      </c>
      <c r="T158" s="925" t="str">
        <f t="shared" si="68"/>
        <v/>
      </c>
      <c r="U158" s="545"/>
      <c r="V158" s="1103"/>
      <c r="W158" s="1103"/>
      <c r="X158" s="1060"/>
      <c r="Y158" s="1095" t="e">
        <f t="shared" si="69"/>
        <v>#VALUE!</v>
      </c>
      <c r="Z158" s="1094">
        <f>tab!$B$50</f>
        <v>0.6</v>
      </c>
      <c r="AA158" s="1126" t="e">
        <f t="shared" si="70"/>
        <v>#VALUE!</v>
      </c>
      <c r="AB158" s="1126" t="e">
        <f t="shared" si="71"/>
        <v>#VALUE!</v>
      </c>
      <c r="AC158" s="1126" t="e">
        <f t="shared" si="72"/>
        <v>#VALUE!</v>
      </c>
      <c r="AD158" s="1128" t="e">
        <f t="shared" si="73"/>
        <v>#VALUE!</v>
      </c>
      <c r="AE158" s="1128">
        <f t="shared" si="74"/>
        <v>0</v>
      </c>
      <c r="AF158" s="1096">
        <f>IF(H158&gt;8,tab!$B$51,tab!$B$54)</f>
        <v>0.5</v>
      </c>
      <c r="AG158" s="1097">
        <f t="shared" si="75"/>
        <v>0</v>
      </c>
      <c r="AH158" s="1093">
        <f t="shared" si="76"/>
        <v>0</v>
      </c>
      <c r="AI158" s="1120" t="e">
        <f>DATE(YEAR(tab!$E$3),MONTH(G158),DAY(G158))&gt;tab!$E$3</f>
        <v>#VALUE!</v>
      </c>
      <c r="AJ158" s="1097" t="e">
        <f t="shared" si="77"/>
        <v>#VALUE!</v>
      </c>
      <c r="AK158" s="1041">
        <f t="shared" si="78"/>
        <v>30</v>
      </c>
      <c r="AL158" s="1041">
        <f t="shared" si="79"/>
        <v>30</v>
      </c>
      <c r="AM158" s="1047">
        <f t="shared" si="80"/>
        <v>0</v>
      </c>
      <c r="AS158" s="727"/>
    </row>
    <row r="159" spans="3:50" ht="12.75" customHeight="1" x14ac:dyDescent="0.3">
      <c r="C159" s="122"/>
      <c r="D159" s="388" t="str">
        <f>IF(op!D91="","",op!D91)</f>
        <v/>
      </c>
      <c r="E159" s="388" t="str">
        <f>IF(op!E91=0,"",op!E91)</f>
        <v/>
      </c>
      <c r="F159" s="684" t="str">
        <f>IF(op!F91="","",op!F91+1)</f>
        <v/>
      </c>
      <c r="G159" s="710" t="str">
        <f>IF(op!G91="","",op!G91)</f>
        <v/>
      </c>
      <c r="H159" s="684" t="str">
        <f>IF(op!H91=0,"",op!H91)</f>
        <v/>
      </c>
      <c r="I159" s="389" t="str">
        <f>IF(J159="","",(IF(op!I91+1&gt;LOOKUP(H159,schaal2019,regels2019),op!I91,op!I91+1)))</f>
        <v/>
      </c>
      <c r="J159" s="711" t="str">
        <f>IF(op!J91="","",op!J91)</f>
        <v/>
      </c>
      <c r="K159" s="472"/>
      <c r="L159" s="1049">
        <f>IF(op!L91="","",op!L91)</f>
        <v>0</v>
      </c>
      <c r="M159" s="1049">
        <f>IF(op!M91="","",op!M91)</f>
        <v>0</v>
      </c>
      <c r="N159" s="1051" t="str">
        <f t="shared" si="64"/>
        <v/>
      </c>
      <c r="O159" s="1051" t="str">
        <f t="shared" si="65"/>
        <v/>
      </c>
      <c r="P159" s="1125" t="str">
        <f t="shared" si="66"/>
        <v/>
      </c>
      <c r="Q159" s="472"/>
      <c r="R159" s="923" t="str">
        <f t="shared" si="81"/>
        <v/>
      </c>
      <c r="S159" s="923" t="str">
        <f t="shared" si="67"/>
        <v/>
      </c>
      <c r="T159" s="925" t="str">
        <f t="shared" si="68"/>
        <v/>
      </c>
      <c r="U159" s="545"/>
      <c r="V159" s="1103"/>
      <c r="W159" s="1103"/>
      <c r="X159" s="1060"/>
      <c r="Y159" s="1095" t="e">
        <f t="shared" si="69"/>
        <v>#VALUE!</v>
      </c>
      <c r="Z159" s="1094">
        <f>tab!$B$50</f>
        <v>0.6</v>
      </c>
      <c r="AA159" s="1126" t="e">
        <f t="shared" si="70"/>
        <v>#VALUE!</v>
      </c>
      <c r="AB159" s="1126" t="e">
        <f t="shared" si="71"/>
        <v>#VALUE!</v>
      </c>
      <c r="AC159" s="1126" t="e">
        <f t="shared" si="72"/>
        <v>#VALUE!</v>
      </c>
      <c r="AD159" s="1128" t="e">
        <f t="shared" si="73"/>
        <v>#VALUE!</v>
      </c>
      <c r="AE159" s="1128">
        <f t="shared" si="74"/>
        <v>0</v>
      </c>
      <c r="AF159" s="1096">
        <f>IF(H159&gt;8,tab!$B$51,tab!$B$54)</f>
        <v>0.5</v>
      </c>
      <c r="AG159" s="1097">
        <f t="shared" si="75"/>
        <v>0</v>
      </c>
      <c r="AH159" s="1093">
        <f t="shared" si="76"/>
        <v>0</v>
      </c>
      <c r="AI159" s="1120" t="e">
        <f>DATE(YEAR(tab!$E$3),MONTH(G159),DAY(G159))&gt;tab!$E$3</f>
        <v>#VALUE!</v>
      </c>
      <c r="AJ159" s="1097" t="e">
        <f t="shared" si="77"/>
        <v>#VALUE!</v>
      </c>
      <c r="AK159" s="1041">
        <f t="shared" si="78"/>
        <v>30</v>
      </c>
      <c r="AL159" s="1041">
        <f t="shared" si="79"/>
        <v>30</v>
      </c>
      <c r="AM159" s="1047">
        <f t="shared" si="80"/>
        <v>0</v>
      </c>
      <c r="AS159" s="727"/>
    </row>
    <row r="160" spans="3:50" ht="12.75" customHeight="1" x14ac:dyDescent="0.3">
      <c r="C160" s="122"/>
      <c r="D160" s="388" t="str">
        <f>IF(op!D92="","",op!D92)</f>
        <v/>
      </c>
      <c r="E160" s="388" t="str">
        <f>IF(op!E92=0,"",op!E92)</f>
        <v/>
      </c>
      <c r="F160" s="684" t="str">
        <f>IF(op!F92="","",op!F92+1)</f>
        <v/>
      </c>
      <c r="G160" s="710" t="str">
        <f>IF(op!G92="","",op!G92)</f>
        <v/>
      </c>
      <c r="H160" s="684" t="str">
        <f>IF(op!H92=0,"",op!H92)</f>
        <v/>
      </c>
      <c r="I160" s="389" t="str">
        <f>IF(J160="","",(IF(op!I92+1&gt;LOOKUP(H160,schaal2019,regels2019),op!I92,op!I92+1)))</f>
        <v/>
      </c>
      <c r="J160" s="711" t="str">
        <f>IF(op!J92="","",op!J92)</f>
        <v/>
      </c>
      <c r="K160" s="472"/>
      <c r="L160" s="1049">
        <f>IF(op!L92="","",op!L92)</f>
        <v>0</v>
      </c>
      <c r="M160" s="1049">
        <f>IF(op!M92="","",op!M92)</f>
        <v>0</v>
      </c>
      <c r="N160" s="1051" t="str">
        <f t="shared" si="64"/>
        <v/>
      </c>
      <c r="O160" s="1051" t="str">
        <f t="shared" si="65"/>
        <v/>
      </c>
      <c r="P160" s="1125" t="str">
        <f t="shared" si="66"/>
        <v/>
      </c>
      <c r="Q160" s="472"/>
      <c r="R160" s="923" t="str">
        <f t="shared" si="81"/>
        <v/>
      </c>
      <c r="S160" s="923" t="str">
        <f t="shared" si="67"/>
        <v/>
      </c>
      <c r="T160" s="925" t="str">
        <f t="shared" si="68"/>
        <v/>
      </c>
      <c r="U160" s="545"/>
      <c r="V160" s="1103"/>
      <c r="W160" s="1103"/>
      <c r="X160" s="1060"/>
      <c r="Y160" s="1095" t="e">
        <f t="shared" si="69"/>
        <v>#VALUE!</v>
      </c>
      <c r="Z160" s="1094">
        <f>tab!$B$50</f>
        <v>0.6</v>
      </c>
      <c r="AA160" s="1126" t="e">
        <f t="shared" si="70"/>
        <v>#VALUE!</v>
      </c>
      <c r="AB160" s="1126" t="e">
        <f t="shared" si="71"/>
        <v>#VALUE!</v>
      </c>
      <c r="AC160" s="1126" t="e">
        <f t="shared" si="72"/>
        <v>#VALUE!</v>
      </c>
      <c r="AD160" s="1128" t="e">
        <f t="shared" si="73"/>
        <v>#VALUE!</v>
      </c>
      <c r="AE160" s="1128">
        <f t="shared" si="74"/>
        <v>0</v>
      </c>
      <c r="AF160" s="1096">
        <f>IF(H160&gt;8,tab!$B$51,tab!$B$54)</f>
        <v>0.5</v>
      </c>
      <c r="AG160" s="1097">
        <f t="shared" si="75"/>
        <v>0</v>
      </c>
      <c r="AH160" s="1093">
        <f t="shared" si="76"/>
        <v>0</v>
      </c>
      <c r="AI160" s="1120" t="e">
        <f>DATE(YEAR(tab!$E$3),MONTH(G160),DAY(G160))&gt;tab!$E$3</f>
        <v>#VALUE!</v>
      </c>
      <c r="AJ160" s="1097" t="e">
        <f t="shared" si="77"/>
        <v>#VALUE!</v>
      </c>
      <c r="AK160" s="1041">
        <f t="shared" si="78"/>
        <v>30</v>
      </c>
      <c r="AL160" s="1041">
        <f t="shared" si="79"/>
        <v>30</v>
      </c>
      <c r="AM160" s="1047">
        <f t="shared" si="80"/>
        <v>0</v>
      </c>
      <c r="AS160" s="727"/>
    </row>
    <row r="161" spans="3:45" ht="12.75" customHeight="1" x14ac:dyDescent="0.3">
      <c r="C161" s="122"/>
      <c r="D161" s="388" t="str">
        <f>IF(op!D93="","",op!D93)</f>
        <v/>
      </c>
      <c r="E161" s="388" t="str">
        <f>IF(op!E93=0,"",op!E93)</f>
        <v/>
      </c>
      <c r="F161" s="684" t="str">
        <f>IF(op!F93="","",op!F93+1)</f>
        <v/>
      </c>
      <c r="G161" s="710" t="str">
        <f>IF(op!G93="","",op!G93)</f>
        <v/>
      </c>
      <c r="H161" s="684" t="str">
        <f>IF(op!H93=0,"",op!H93)</f>
        <v/>
      </c>
      <c r="I161" s="389" t="str">
        <f>IF(J161="","",(IF(op!I93+1&gt;LOOKUP(H161,schaal2019,regels2019),op!I93,op!I93+1)))</f>
        <v/>
      </c>
      <c r="J161" s="711" t="str">
        <f>IF(op!J93="","",op!J93)</f>
        <v/>
      </c>
      <c r="K161" s="472"/>
      <c r="L161" s="1049">
        <f>IF(op!L93="","",op!L93)</f>
        <v>0</v>
      </c>
      <c r="M161" s="1049">
        <f>IF(op!M93="","",op!M93)</f>
        <v>0</v>
      </c>
      <c r="N161" s="1051" t="str">
        <f t="shared" si="64"/>
        <v/>
      </c>
      <c r="O161" s="1051" t="str">
        <f t="shared" si="65"/>
        <v/>
      </c>
      <c r="P161" s="1125" t="str">
        <f t="shared" si="66"/>
        <v/>
      </c>
      <c r="Q161" s="472"/>
      <c r="R161" s="923" t="str">
        <f t="shared" si="81"/>
        <v/>
      </c>
      <c r="S161" s="923" t="str">
        <f t="shared" si="67"/>
        <v/>
      </c>
      <c r="T161" s="925" t="str">
        <f t="shared" si="68"/>
        <v/>
      </c>
      <c r="U161" s="545"/>
      <c r="V161" s="1103"/>
      <c r="W161" s="1103"/>
      <c r="X161" s="1060"/>
      <c r="Y161" s="1095" t="e">
        <f t="shared" si="69"/>
        <v>#VALUE!</v>
      </c>
      <c r="Z161" s="1094">
        <f>tab!$B$50</f>
        <v>0.6</v>
      </c>
      <c r="AA161" s="1126" t="e">
        <f t="shared" si="70"/>
        <v>#VALUE!</v>
      </c>
      <c r="AB161" s="1126" t="e">
        <f t="shared" si="71"/>
        <v>#VALUE!</v>
      </c>
      <c r="AC161" s="1126" t="e">
        <f t="shared" si="72"/>
        <v>#VALUE!</v>
      </c>
      <c r="AD161" s="1128" t="e">
        <f t="shared" si="73"/>
        <v>#VALUE!</v>
      </c>
      <c r="AE161" s="1128">
        <f t="shared" si="74"/>
        <v>0</v>
      </c>
      <c r="AF161" s="1096">
        <f>IF(H161&gt;8,tab!$B$51,tab!$B$54)</f>
        <v>0.5</v>
      </c>
      <c r="AG161" s="1097">
        <f t="shared" si="75"/>
        <v>0</v>
      </c>
      <c r="AH161" s="1093">
        <f t="shared" si="76"/>
        <v>0</v>
      </c>
      <c r="AI161" s="1120" t="e">
        <f>DATE(YEAR(tab!$E$3),MONTH(G161),DAY(G161))&gt;tab!$E$3</f>
        <v>#VALUE!</v>
      </c>
      <c r="AJ161" s="1097" t="e">
        <f t="shared" si="77"/>
        <v>#VALUE!</v>
      </c>
      <c r="AK161" s="1041">
        <f t="shared" si="78"/>
        <v>30</v>
      </c>
      <c r="AL161" s="1041">
        <f t="shared" si="79"/>
        <v>30</v>
      </c>
      <c r="AM161" s="1047">
        <f t="shared" si="80"/>
        <v>0</v>
      </c>
      <c r="AS161" s="727"/>
    </row>
    <row r="162" spans="3:45" ht="12.75" customHeight="1" x14ac:dyDescent="0.3">
      <c r="C162" s="122"/>
      <c r="D162" s="388" t="str">
        <f>IF(op!D94="","",op!D94)</f>
        <v/>
      </c>
      <c r="E162" s="388" t="str">
        <f>IF(op!E94=0,"",op!E94)</f>
        <v/>
      </c>
      <c r="F162" s="684" t="str">
        <f>IF(op!F94="","",op!F94+1)</f>
        <v/>
      </c>
      <c r="G162" s="710" t="str">
        <f>IF(op!G94="","",op!G94)</f>
        <v/>
      </c>
      <c r="H162" s="684" t="str">
        <f>IF(op!H94=0,"",op!H94)</f>
        <v/>
      </c>
      <c r="I162" s="389" t="str">
        <f>IF(J162="","",(IF(op!I94+1&gt;LOOKUP(H162,schaal2019,regels2019),op!I94,op!I94+1)))</f>
        <v/>
      </c>
      <c r="J162" s="711" t="str">
        <f>IF(op!J94="","",op!J94)</f>
        <v/>
      </c>
      <c r="K162" s="472"/>
      <c r="L162" s="1049">
        <f>IF(op!L94="","",op!L94)</f>
        <v>0</v>
      </c>
      <c r="M162" s="1049">
        <f>IF(op!M94="","",op!M94)</f>
        <v>0</v>
      </c>
      <c r="N162" s="1051" t="str">
        <f t="shared" si="64"/>
        <v/>
      </c>
      <c r="O162" s="1051" t="str">
        <f t="shared" si="65"/>
        <v/>
      </c>
      <c r="P162" s="1125" t="str">
        <f t="shared" si="66"/>
        <v/>
      </c>
      <c r="Q162" s="472"/>
      <c r="R162" s="923" t="str">
        <f t="shared" si="81"/>
        <v/>
      </c>
      <c r="S162" s="923" t="str">
        <f t="shared" si="67"/>
        <v/>
      </c>
      <c r="T162" s="925" t="str">
        <f t="shared" si="68"/>
        <v/>
      </c>
      <c r="U162" s="545"/>
      <c r="V162" s="1103"/>
      <c r="W162" s="1103"/>
      <c r="X162" s="1060"/>
      <c r="Y162" s="1095" t="e">
        <f t="shared" si="69"/>
        <v>#VALUE!</v>
      </c>
      <c r="Z162" s="1094">
        <f>tab!$B$50</f>
        <v>0.6</v>
      </c>
      <c r="AA162" s="1126" t="e">
        <f t="shared" si="70"/>
        <v>#VALUE!</v>
      </c>
      <c r="AB162" s="1126" t="e">
        <f t="shared" si="71"/>
        <v>#VALUE!</v>
      </c>
      <c r="AC162" s="1126" t="e">
        <f t="shared" si="72"/>
        <v>#VALUE!</v>
      </c>
      <c r="AD162" s="1128" t="e">
        <f t="shared" si="73"/>
        <v>#VALUE!</v>
      </c>
      <c r="AE162" s="1128">
        <f t="shared" si="74"/>
        <v>0</v>
      </c>
      <c r="AF162" s="1096">
        <f>IF(H162&gt;8,tab!$B$51,tab!$B$54)</f>
        <v>0.5</v>
      </c>
      <c r="AG162" s="1097">
        <f t="shared" si="75"/>
        <v>0</v>
      </c>
      <c r="AH162" s="1093">
        <f t="shared" si="76"/>
        <v>0</v>
      </c>
      <c r="AI162" s="1120" t="e">
        <f>DATE(YEAR(tab!$E$3),MONTH(G162),DAY(G162))&gt;tab!$E$3</f>
        <v>#VALUE!</v>
      </c>
      <c r="AJ162" s="1097" t="e">
        <f t="shared" si="77"/>
        <v>#VALUE!</v>
      </c>
      <c r="AK162" s="1041">
        <f t="shared" si="78"/>
        <v>30</v>
      </c>
      <c r="AL162" s="1041">
        <f t="shared" si="79"/>
        <v>30</v>
      </c>
      <c r="AM162" s="1047">
        <f t="shared" si="80"/>
        <v>0</v>
      </c>
      <c r="AS162" s="727"/>
    </row>
    <row r="163" spans="3:45" ht="12.75" customHeight="1" x14ac:dyDescent="0.3">
      <c r="C163" s="122"/>
      <c r="D163" s="388" t="str">
        <f>IF(op!D95="","",op!D95)</f>
        <v/>
      </c>
      <c r="E163" s="388" t="str">
        <f>IF(op!E95=0,"",op!E95)</f>
        <v/>
      </c>
      <c r="F163" s="684" t="str">
        <f>IF(op!F95="","",op!F95+1)</f>
        <v/>
      </c>
      <c r="G163" s="710" t="str">
        <f>IF(op!G95="","",op!G95)</f>
        <v/>
      </c>
      <c r="H163" s="684" t="str">
        <f>IF(op!H95=0,"",op!H95)</f>
        <v/>
      </c>
      <c r="I163" s="389" t="str">
        <f>IF(J163="","",(IF(op!I95+1&gt;LOOKUP(H163,schaal2019,regels2019),op!I95,op!I95+1)))</f>
        <v/>
      </c>
      <c r="J163" s="711" t="str">
        <f>IF(op!J95="","",op!J95)</f>
        <v/>
      </c>
      <c r="K163" s="472"/>
      <c r="L163" s="1049">
        <f>IF(op!L95="","",op!L95)</f>
        <v>0</v>
      </c>
      <c r="M163" s="1049">
        <f>IF(op!M95="","",op!M95)</f>
        <v>0</v>
      </c>
      <c r="N163" s="1051" t="str">
        <f t="shared" si="64"/>
        <v/>
      </c>
      <c r="O163" s="1051" t="str">
        <f t="shared" si="65"/>
        <v/>
      </c>
      <c r="P163" s="1125" t="str">
        <f t="shared" si="66"/>
        <v/>
      </c>
      <c r="Q163" s="472"/>
      <c r="R163" s="923" t="str">
        <f t="shared" si="81"/>
        <v/>
      </c>
      <c r="S163" s="923" t="str">
        <f t="shared" si="67"/>
        <v/>
      </c>
      <c r="T163" s="925" t="str">
        <f t="shared" si="68"/>
        <v/>
      </c>
      <c r="U163" s="545"/>
      <c r="V163" s="1103"/>
      <c r="W163" s="1103"/>
      <c r="X163" s="1060"/>
      <c r="Y163" s="1095" t="e">
        <f t="shared" si="69"/>
        <v>#VALUE!</v>
      </c>
      <c r="Z163" s="1094">
        <f>tab!$B$50</f>
        <v>0.6</v>
      </c>
      <c r="AA163" s="1126" t="e">
        <f t="shared" si="70"/>
        <v>#VALUE!</v>
      </c>
      <c r="AB163" s="1126" t="e">
        <f t="shared" si="71"/>
        <v>#VALUE!</v>
      </c>
      <c r="AC163" s="1126" t="e">
        <f t="shared" si="72"/>
        <v>#VALUE!</v>
      </c>
      <c r="AD163" s="1128" t="e">
        <f t="shared" si="73"/>
        <v>#VALUE!</v>
      </c>
      <c r="AE163" s="1128">
        <f t="shared" si="74"/>
        <v>0</v>
      </c>
      <c r="AF163" s="1096">
        <f>IF(H163&gt;8,tab!$B$51,tab!$B$54)</f>
        <v>0.5</v>
      </c>
      <c r="AG163" s="1097">
        <f t="shared" si="75"/>
        <v>0</v>
      </c>
      <c r="AH163" s="1093">
        <f t="shared" si="76"/>
        <v>0</v>
      </c>
      <c r="AI163" s="1120" t="e">
        <f>DATE(YEAR(tab!$E$3),MONTH(G163),DAY(G163))&gt;tab!$E$3</f>
        <v>#VALUE!</v>
      </c>
      <c r="AJ163" s="1097" t="e">
        <f t="shared" si="77"/>
        <v>#VALUE!</v>
      </c>
      <c r="AK163" s="1041">
        <f t="shared" si="78"/>
        <v>30</v>
      </c>
      <c r="AL163" s="1041">
        <f t="shared" si="79"/>
        <v>30</v>
      </c>
      <c r="AM163" s="1047">
        <f t="shared" si="80"/>
        <v>0</v>
      </c>
      <c r="AS163" s="727"/>
    </row>
    <row r="164" spans="3:45" ht="12.75" customHeight="1" x14ac:dyDescent="0.3">
      <c r="C164" s="122"/>
      <c r="D164" s="388" t="str">
        <f>IF(op!D96="","",op!D96)</f>
        <v/>
      </c>
      <c r="E164" s="388" t="str">
        <f>IF(op!E96=0,"",op!E96)</f>
        <v/>
      </c>
      <c r="F164" s="684" t="str">
        <f>IF(op!F96="","",op!F96+1)</f>
        <v/>
      </c>
      <c r="G164" s="710" t="str">
        <f>IF(op!G96="","",op!G96)</f>
        <v/>
      </c>
      <c r="H164" s="684" t="str">
        <f>IF(op!H96=0,"",op!H96)</f>
        <v/>
      </c>
      <c r="I164" s="389" t="str">
        <f>IF(J164="","",(IF(op!I96+1&gt;LOOKUP(H164,schaal2019,regels2019),op!I96,op!I96+1)))</f>
        <v/>
      </c>
      <c r="J164" s="711" t="str">
        <f>IF(op!J96="","",op!J96)</f>
        <v/>
      </c>
      <c r="K164" s="472"/>
      <c r="L164" s="1049">
        <f>IF(op!L96="","",op!L96)</f>
        <v>0</v>
      </c>
      <c r="M164" s="1049">
        <f>IF(op!M96="","",op!M96)</f>
        <v>0</v>
      </c>
      <c r="N164" s="1051" t="str">
        <f t="shared" si="64"/>
        <v/>
      </c>
      <c r="O164" s="1051" t="str">
        <f t="shared" si="65"/>
        <v/>
      </c>
      <c r="P164" s="1125" t="str">
        <f t="shared" si="66"/>
        <v/>
      </c>
      <c r="Q164" s="472"/>
      <c r="R164" s="923" t="str">
        <f t="shared" si="81"/>
        <v/>
      </c>
      <c r="S164" s="923" t="str">
        <f t="shared" si="67"/>
        <v/>
      </c>
      <c r="T164" s="925" t="str">
        <f t="shared" si="68"/>
        <v/>
      </c>
      <c r="U164" s="545"/>
      <c r="V164" s="1103"/>
      <c r="W164" s="1103"/>
      <c r="X164" s="1060"/>
      <c r="Y164" s="1095" t="e">
        <f t="shared" si="69"/>
        <v>#VALUE!</v>
      </c>
      <c r="Z164" s="1094">
        <f>tab!$B$50</f>
        <v>0.6</v>
      </c>
      <c r="AA164" s="1126" t="e">
        <f t="shared" si="70"/>
        <v>#VALUE!</v>
      </c>
      <c r="AB164" s="1126" t="e">
        <f t="shared" si="71"/>
        <v>#VALUE!</v>
      </c>
      <c r="AC164" s="1126" t="e">
        <f t="shared" si="72"/>
        <v>#VALUE!</v>
      </c>
      <c r="AD164" s="1128" t="e">
        <f t="shared" si="73"/>
        <v>#VALUE!</v>
      </c>
      <c r="AE164" s="1128">
        <f t="shared" si="74"/>
        <v>0</v>
      </c>
      <c r="AF164" s="1096">
        <f>IF(H164&gt;8,tab!$B$51,tab!$B$54)</f>
        <v>0.5</v>
      </c>
      <c r="AG164" s="1097">
        <f t="shared" si="75"/>
        <v>0</v>
      </c>
      <c r="AH164" s="1093">
        <f t="shared" si="76"/>
        <v>0</v>
      </c>
      <c r="AI164" s="1120" t="e">
        <f>DATE(YEAR(tab!$E$3),MONTH(G164),DAY(G164))&gt;tab!$E$3</f>
        <v>#VALUE!</v>
      </c>
      <c r="AJ164" s="1097" t="e">
        <f t="shared" si="77"/>
        <v>#VALUE!</v>
      </c>
      <c r="AK164" s="1041">
        <f t="shared" si="78"/>
        <v>30</v>
      </c>
      <c r="AL164" s="1041">
        <f t="shared" si="79"/>
        <v>30</v>
      </c>
      <c r="AM164" s="1047">
        <f t="shared" si="80"/>
        <v>0</v>
      </c>
      <c r="AS164" s="727"/>
    </row>
    <row r="165" spans="3:45" ht="12.75" customHeight="1" x14ac:dyDescent="0.3">
      <c r="C165" s="122"/>
      <c r="D165" s="388" t="str">
        <f>IF(op!D97="","",op!D97)</f>
        <v/>
      </c>
      <c r="E165" s="388" t="str">
        <f>IF(op!E97=0,"",op!E97)</f>
        <v/>
      </c>
      <c r="F165" s="684" t="str">
        <f>IF(op!F97="","",op!F97+1)</f>
        <v/>
      </c>
      <c r="G165" s="710" t="str">
        <f>IF(op!G97="","",op!G97)</f>
        <v/>
      </c>
      <c r="H165" s="684" t="str">
        <f>IF(op!H97=0,"",op!H97)</f>
        <v/>
      </c>
      <c r="I165" s="389" t="str">
        <f>IF(J165="","",(IF(op!I97+1&gt;LOOKUP(H165,schaal2019,regels2019),op!I97,op!I97+1)))</f>
        <v/>
      </c>
      <c r="J165" s="711" t="str">
        <f>IF(op!J97="","",op!J97)</f>
        <v/>
      </c>
      <c r="K165" s="472"/>
      <c r="L165" s="1049">
        <f>IF(op!L97="","",op!L97)</f>
        <v>0</v>
      </c>
      <c r="M165" s="1049">
        <f>IF(op!M97="","",op!M97)</f>
        <v>0</v>
      </c>
      <c r="N165" s="1051" t="str">
        <f t="shared" si="64"/>
        <v/>
      </c>
      <c r="O165" s="1051" t="str">
        <f t="shared" si="65"/>
        <v/>
      </c>
      <c r="P165" s="1125" t="str">
        <f t="shared" si="66"/>
        <v/>
      </c>
      <c r="Q165" s="472"/>
      <c r="R165" s="923" t="str">
        <f t="shared" si="81"/>
        <v/>
      </c>
      <c r="S165" s="923" t="str">
        <f t="shared" si="67"/>
        <v/>
      </c>
      <c r="T165" s="925" t="str">
        <f t="shared" si="68"/>
        <v/>
      </c>
      <c r="U165" s="545"/>
      <c r="V165" s="1103"/>
      <c r="W165" s="1103"/>
      <c r="X165" s="1060"/>
      <c r="Y165" s="1095" t="e">
        <f t="shared" si="69"/>
        <v>#VALUE!</v>
      </c>
      <c r="Z165" s="1094">
        <f>tab!$B$50</f>
        <v>0.6</v>
      </c>
      <c r="AA165" s="1126" t="e">
        <f t="shared" si="70"/>
        <v>#VALUE!</v>
      </c>
      <c r="AB165" s="1126" t="e">
        <f t="shared" si="71"/>
        <v>#VALUE!</v>
      </c>
      <c r="AC165" s="1126" t="e">
        <f t="shared" si="72"/>
        <v>#VALUE!</v>
      </c>
      <c r="AD165" s="1128" t="e">
        <f t="shared" si="73"/>
        <v>#VALUE!</v>
      </c>
      <c r="AE165" s="1128">
        <f t="shared" si="74"/>
        <v>0</v>
      </c>
      <c r="AF165" s="1096">
        <f>IF(H165&gt;8,tab!$B$51,tab!$B$54)</f>
        <v>0.5</v>
      </c>
      <c r="AG165" s="1097">
        <f t="shared" si="75"/>
        <v>0</v>
      </c>
      <c r="AH165" s="1093">
        <f t="shared" si="76"/>
        <v>0</v>
      </c>
      <c r="AI165" s="1120" t="e">
        <f>DATE(YEAR(tab!$E$3),MONTH(G165),DAY(G165))&gt;tab!$E$3</f>
        <v>#VALUE!</v>
      </c>
      <c r="AJ165" s="1097" t="e">
        <f t="shared" si="77"/>
        <v>#VALUE!</v>
      </c>
      <c r="AK165" s="1041">
        <f t="shared" si="78"/>
        <v>30</v>
      </c>
      <c r="AL165" s="1041">
        <f t="shared" si="79"/>
        <v>30</v>
      </c>
      <c r="AM165" s="1047">
        <f t="shared" si="80"/>
        <v>0</v>
      </c>
      <c r="AS165" s="727"/>
    </row>
    <row r="166" spans="3:45" ht="12.75" customHeight="1" x14ac:dyDescent="0.3">
      <c r="C166" s="122"/>
      <c r="D166" s="388" t="str">
        <f>IF(op!D98="","",op!D98)</f>
        <v/>
      </c>
      <c r="E166" s="388" t="str">
        <f>IF(op!E98=0,"",op!E98)</f>
        <v/>
      </c>
      <c r="F166" s="684" t="str">
        <f>IF(op!F98="","",op!F98+1)</f>
        <v/>
      </c>
      <c r="G166" s="710" t="str">
        <f>IF(op!G98="","",op!G98)</f>
        <v/>
      </c>
      <c r="H166" s="684" t="str">
        <f>IF(op!H98=0,"",op!H98)</f>
        <v/>
      </c>
      <c r="I166" s="389" t="str">
        <f>IF(J166="","",(IF(op!I98+1&gt;LOOKUP(H166,schaal2019,regels2019),op!I98,op!I98+1)))</f>
        <v/>
      </c>
      <c r="J166" s="711" t="str">
        <f>IF(op!J98="","",op!J98)</f>
        <v/>
      </c>
      <c r="K166" s="472"/>
      <c r="L166" s="1049">
        <f>IF(op!L98="","",op!L98)</f>
        <v>0</v>
      </c>
      <c r="M166" s="1049">
        <f>IF(op!M98="","",op!M98)</f>
        <v>0</v>
      </c>
      <c r="N166" s="1051" t="str">
        <f t="shared" si="64"/>
        <v/>
      </c>
      <c r="O166" s="1051" t="str">
        <f t="shared" si="65"/>
        <v/>
      </c>
      <c r="P166" s="1125" t="str">
        <f t="shared" si="66"/>
        <v/>
      </c>
      <c r="Q166" s="472"/>
      <c r="R166" s="923" t="str">
        <f t="shared" si="81"/>
        <v/>
      </c>
      <c r="S166" s="923" t="str">
        <f t="shared" si="67"/>
        <v/>
      </c>
      <c r="T166" s="925" t="str">
        <f t="shared" si="68"/>
        <v/>
      </c>
      <c r="U166" s="545"/>
      <c r="V166" s="1103"/>
      <c r="W166" s="1103"/>
      <c r="X166" s="1060"/>
      <c r="Y166" s="1095" t="e">
        <f t="shared" si="69"/>
        <v>#VALUE!</v>
      </c>
      <c r="Z166" s="1094">
        <f>tab!$B$50</f>
        <v>0.6</v>
      </c>
      <c r="AA166" s="1126" t="e">
        <f t="shared" si="70"/>
        <v>#VALUE!</v>
      </c>
      <c r="AB166" s="1126" t="e">
        <f t="shared" si="71"/>
        <v>#VALUE!</v>
      </c>
      <c r="AC166" s="1126" t="e">
        <f t="shared" si="72"/>
        <v>#VALUE!</v>
      </c>
      <c r="AD166" s="1128" t="e">
        <f t="shared" si="73"/>
        <v>#VALUE!</v>
      </c>
      <c r="AE166" s="1128">
        <f t="shared" si="74"/>
        <v>0</v>
      </c>
      <c r="AF166" s="1096">
        <f>IF(H166&gt;8,tab!$B$51,tab!$B$54)</f>
        <v>0.5</v>
      </c>
      <c r="AG166" s="1097">
        <f t="shared" si="75"/>
        <v>0</v>
      </c>
      <c r="AH166" s="1093">
        <f t="shared" si="76"/>
        <v>0</v>
      </c>
      <c r="AI166" s="1120" t="e">
        <f>DATE(YEAR(tab!$E$3),MONTH(G166),DAY(G166))&gt;tab!$E$3</f>
        <v>#VALUE!</v>
      </c>
      <c r="AJ166" s="1097" t="e">
        <f t="shared" si="77"/>
        <v>#VALUE!</v>
      </c>
      <c r="AK166" s="1041">
        <f t="shared" si="78"/>
        <v>30</v>
      </c>
      <c r="AL166" s="1041">
        <f t="shared" si="79"/>
        <v>30</v>
      </c>
      <c r="AM166" s="1047">
        <f t="shared" si="80"/>
        <v>0</v>
      </c>
      <c r="AS166" s="727"/>
    </row>
    <row r="167" spans="3:45" ht="12.75" customHeight="1" x14ac:dyDescent="0.3">
      <c r="C167" s="122"/>
      <c r="D167" s="388" t="str">
        <f>IF(op!D99="","",op!D99)</f>
        <v/>
      </c>
      <c r="E167" s="388" t="str">
        <f>IF(op!E99=0,"",op!E99)</f>
        <v/>
      </c>
      <c r="F167" s="684" t="str">
        <f>IF(op!F99="","",op!F99+1)</f>
        <v/>
      </c>
      <c r="G167" s="710" t="str">
        <f>IF(op!G99="","",op!G99)</f>
        <v/>
      </c>
      <c r="H167" s="684" t="str">
        <f>IF(op!H99=0,"",op!H99)</f>
        <v/>
      </c>
      <c r="I167" s="389" t="str">
        <f>IF(J167="","",(IF(op!I99+1&gt;LOOKUP(H167,schaal2019,regels2019),op!I99,op!I99+1)))</f>
        <v/>
      </c>
      <c r="J167" s="711" t="str">
        <f>IF(op!J99="","",op!J99)</f>
        <v/>
      </c>
      <c r="K167" s="472"/>
      <c r="L167" s="1049">
        <f>IF(op!L99="","",op!L99)</f>
        <v>0</v>
      </c>
      <c r="M167" s="1049">
        <f>IF(op!M99="","",op!M99)</f>
        <v>0</v>
      </c>
      <c r="N167" s="1051" t="str">
        <f t="shared" si="64"/>
        <v/>
      </c>
      <c r="O167" s="1051" t="str">
        <f t="shared" si="65"/>
        <v/>
      </c>
      <c r="P167" s="1125" t="str">
        <f t="shared" si="66"/>
        <v/>
      </c>
      <c r="Q167" s="472"/>
      <c r="R167" s="923" t="str">
        <f t="shared" si="81"/>
        <v/>
      </c>
      <c r="S167" s="923" t="str">
        <f t="shared" si="67"/>
        <v/>
      </c>
      <c r="T167" s="925" t="str">
        <f t="shared" si="68"/>
        <v/>
      </c>
      <c r="U167" s="545"/>
      <c r="V167" s="1103"/>
      <c r="W167" s="1103"/>
      <c r="X167" s="1060"/>
      <c r="Y167" s="1095" t="e">
        <f t="shared" si="69"/>
        <v>#VALUE!</v>
      </c>
      <c r="Z167" s="1094">
        <f>tab!$B$50</f>
        <v>0.6</v>
      </c>
      <c r="AA167" s="1126" t="e">
        <f t="shared" si="70"/>
        <v>#VALUE!</v>
      </c>
      <c r="AB167" s="1126" t="e">
        <f t="shared" si="71"/>
        <v>#VALUE!</v>
      </c>
      <c r="AC167" s="1126" t="e">
        <f t="shared" si="72"/>
        <v>#VALUE!</v>
      </c>
      <c r="AD167" s="1128" t="e">
        <f t="shared" si="73"/>
        <v>#VALUE!</v>
      </c>
      <c r="AE167" s="1128">
        <f t="shared" si="74"/>
        <v>0</v>
      </c>
      <c r="AF167" s="1096">
        <f>IF(H167&gt;8,tab!$B$51,tab!$B$54)</f>
        <v>0.5</v>
      </c>
      <c r="AG167" s="1097">
        <f t="shared" si="75"/>
        <v>0</v>
      </c>
      <c r="AH167" s="1093">
        <f t="shared" si="76"/>
        <v>0</v>
      </c>
      <c r="AI167" s="1120" t="e">
        <f>DATE(YEAR(tab!$E$3),MONTH(G167),DAY(G167))&gt;tab!$E$3</f>
        <v>#VALUE!</v>
      </c>
      <c r="AJ167" s="1097" t="e">
        <f t="shared" si="77"/>
        <v>#VALUE!</v>
      </c>
      <c r="AK167" s="1041">
        <f t="shared" si="78"/>
        <v>30</v>
      </c>
      <c r="AL167" s="1041">
        <f t="shared" si="79"/>
        <v>30</v>
      </c>
      <c r="AM167" s="1047">
        <f t="shared" si="80"/>
        <v>0</v>
      </c>
      <c r="AS167" s="727"/>
    </row>
    <row r="168" spans="3:45" ht="12.75" customHeight="1" x14ac:dyDescent="0.3">
      <c r="C168" s="122"/>
      <c r="D168" s="388" t="str">
        <f>IF(op!D100="","",op!D100)</f>
        <v/>
      </c>
      <c r="E168" s="388" t="str">
        <f>IF(op!E100=0,"",op!E100)</f>
        <v/>
      </c>
      <c r="F168" s="684" t="str">
        <f>IF(op!F100="","",op!F100+1)</f>
        <v/>
      </c>
      <c r="G168" s="710" t="str">
        <f>IF(op!G100="","",op!G100)</f>
        <v/>
      </c>
      <c r="H168" s="684" t="str">
        <f>IF(op!H100=0,"",op!H100)</f>
        <v/>
      </c>
      <c r="I168" s="389" t="str">
        <f>IF(J168="","",(IF(op!I100+1&gt;LOOKUP(H168,schaal2019,regels2019),op!I100,op!I100+1)))</f>
        <v/>
      </c>
      <c r="J168" s="711" t="str">
        <f>IF(op!J100="","",op!J100)</f>
        <v/>
      </c>
      <c r="K168" s="472"/>
      <c r="L168" s="1049">
        <f>IF(op!L100="","",op!L100)</f>
        <v>0</v>
      </c>
      <c r="M168" s="1049">
        <f>IF(op!M100="","",op!M100)</f>
        <v>0</v>
      </c>
      <c r="N168" s="1051" t="str">
        <f t="shared" si="64"/>
        <v/>
      </c>
      <c r="O168" s="1051" t="str">
        <f t="shared" si="65"/>
        <v/>
      </c>
      <c r="P168" s="1125" t="str">
        <f t="shared" si="66"/>
        <v/>
      </c>
      <c r="Q168" s="472"/>
      <c r="R168" s="923" t="str">
        <f t="shared" si="81"/>
        <v/>
      </c>
      <c r="S168" s="923" t="str">
        <f t="shared" si="67"/>
        <v/>
      </c>
      <c r="T168" s="925" t="str">
        <f t="shared" si="68"/>
        <v/>
      </c>
      <c r="U168" s="545"/>
      <c r="V168" s="1103"/>
      <c r="W168" s="1103"/>
      <c r="X168" s="1060"/>
      <c r="Y168" s="1095" t="e">
        <f t="shared" si="69"/>
        <v>#VALUE!</v>
      </c>
      <c r="Z168" s="1094">
        <f>tab!$B$50</f>
        <v>0.6</v>
      </c>
      <c r="AA168" s="1126" t="e">
        <f t="shared" si="70"/>
        <v>#VALUE!</v>
      </c>
      <c r="AB168" s="1126" t="e">
        <f t="shared" si="71"/>
        <v>#VALUE!</v>
      </c>
      <c r="AC168" s="1126" t="e">
        <f t="shared" si="72"/>
        <v>#VALUE!</v>
      </c>
      <c r="AD168" s="1128" t="e">
        <f t="shared" si="73"/>
        <v>#VALUE!</v>
      </c>
      <c r="AE168" s="1128">
        <f t="shared" si="74"/>
        <v>0</v>
      </c>
      <c r="AF168" s="1096">
        <f>IF(H168&gt;8,tab!$B$51,tab!$B$54)</f>
        <v>0.5</v>
      </c>
      <c r="AG168" s="1097">
        <f t="shared" si="75"/>
        <v>0</v>
      </c>
      <c r="AH168" s="1093">
        <f t="shared" si="76"/>
        <v>0</v>
      </c>
      <c r="AI168" s="1120" t="e">
        <f>DATE(YEAR(tab!$E$3),MONTH(G168),DAY(G168))&gt;tab!$E$3</f>
        <v>#VALUE!</v>
      </c>
      <c r="AJ168" s="1097" t="e">
        <f t="shared" si="77"/>
        <v>#VALUE!</v>
      </c>
      <c r="AK168" s="1041">
        <f t="shared" si="78"/>
        <v>30</v>
      </c>
      <c r="AL168" s="1041">
        <f t="shared" si="79"/>
        <v>30</v>
      </c>
      <c r="AM168" s="1047">
        <f t="shared" si="80"/>
        <v>0</v>
      </c>
      <c r="AS168" s="727"/>
    </row>
    <row r="169" spans="3:45" ht="12.75" customHeight="1" x14ac:dyDescent="0.3">
      <c r="C169" s="122"/>
      <c r="D169" s="388" t="str">
        <f>IF(op!D101="","",op!D101)</f>
        <v/>
      </c>
      <c r="E169" s="388" t="str">
        <f>IF(op!E101=0,"",op!E101)</f>
        <v/>
      </c>
      <c r="F169" s="684" t="str">
        <f>IF(op!F101="","",op!F101+1)</f>
        <v/>
      </c>
      <c r="G169" s="710" t="str">
        <f>IF(op!G101="","",op!G101)</f>
        <v/>
      </c>
      <c r="H169" s="684" t="str">
        <f>IF(op!H101=0,"",op!H101)</f>
        <v/>
      </c>
      <c r="I169" s="389" t="str">
        <f>IF(J169="","",(IF(op!I101+1&gt;LOOKUP(H169,schaal2019,regels2019),op!I101,op!I101+1)))</f>
        <v/>
      </c>
      <c r="J169" s="711" t="str">
        <f>IF(op!J101="","",op!J101)</f>
        <v/>
      </c>
      <c r="K169" s="472"/>
      <c r="L169" s="1049">
        <f>IF(op!L101="","",op!L101)</f>
        <v>0</v>
      </c>
      <c r="M169" s="1049">
        <f>IF(op!M101="","",op!M101)</f>
        <v>0</v>
      </c>
      <c r="N169" s="1051" t="str">
        <f t="shared" si="64"/>
        <v/>
      </c>
      <c r="O169" s="1051" t="str">
        <f t="shared" si="65"/>
        <v/>
      </c>
      <c r="P169" s="1125" t="str">
        <f t="shared" si="66"/>
        <v/>
      </c>
      <c r="Q169" s="472"/>
      <c r="R169" s="923" t="str">
        <f t="shared" si="81"/>
        <v/>
      </c>
      <c r="S169" s="923" t="str">
        <f t="shared" si="67"/>
        <v/>
      </c>
      <c r="T169" s="925" t="str">
        <f t="shared" si="68"/>
        <v/>
      </c>
      <c r="U169" s="545"/>
      <c r="V169" s="1103"/>
      <c r="W169" s="1103"/>
      <c r="X169" s="1060"/>
      <c r="Y169" s="1095" t="e">
        <f t="shared" si="69"/>
        <v>#VALUE!</v>
      </c>
      <c r="Z169" s="1094">
        <f>tab!$B$50</f>
        <v>0.6</v>
      </c>
      <c r="AA169" s="1126" t="e">
        <f t="shared" si="70"/>
        <v>#VALUE!</v>
      </c>
      <c r="AB169" s="1126" t="e">
        <f t="shared" si="71"/>
        <v>#VALUE!</v>
      </c>
      <c r="AC169" s="1126" t="e">
        <f t="shared" si="72"/>
        <v>#VALUE!</v>
      </c>
      <c r="AD169" s="1128" t="e">
        <f t="shared" si="73"/>
        <v>#VALUE!</v>
      </c>
      <c r="AE169" s="1128">
        <f t="shared" si="74"/>
        <v>0</v>
      </c>
      <c r="AF169" s="1096">
        <f>IF(H169&gt;8,tab!$B$51,tab!$B$54)</f>
        <v>0.5</v>
      </c>
      <c r="AG169" s="1097">
        <f t="shared" si="75"/>
        <v>0</v>
      </c>
      <c r="AH169" s="1093">
        <f t="shared" si="76"/>
        <v>0</v>
      </c>
      <c r="AI169" s="1120" t="e">
        <f>DATE(YEAR(tab!$E$3),MONTH(G169),DAY(G169))&gt;tab!$E$3</f>
        <v>#VALUE!</v>
      </c>
      <c r="AJ169" s="1097" t="e">
        <f t="shared" si="77"/>
        <v>#VALUE!</v>
      </c>
      <c r="AK169" s="1041">
        <f t="shared" si="78"/>
        <v>30</v>
      </c>
      <c r="AL169" s="1041">
        <f t="shared" si="79"/>
        <v>30</v>
      </c>
      <c r="AM169" s="1047">
        <f t="shared" si="80"/>
        <v>0</v>
      </c>
      <c r="AS169" s="727"/>
    </row>
    <row r="170" spans="3:45" ht="12.75" customHeight="1" x14ac:dyDescent="0.3">
      <c r="C170" s="122"/>
      <c r="D170" s="388" t="str">
        <f>IF(op!D102="","",op!D102)</f>
        <v/>
      </c>
      <c r="E170" s="388" t="str">
        <f>IF(op!E102=0,"",op!E102)</f>
        <v/>
      </c>
      <c r="F170" s="684" t="str">
        <f>IF(op!F102="","",op!F102+1)</f>
        <v/>
      </c>
      <c r="G170" s="710" t="str">
        <f>IF(op!G102="","",op!G102)</f>
        <v/>
      </c>
      <c r="H170" s="684" t="str">
        <f>IF(op!H102=0,"",op!H102)</f>
        <v/>
      </c>
      <c r="I170" s="389" t="str">
        <f>IF(J170="","",(IF(op!I102+1&gt;LOOKUP(H170,schaal2019,regels2019),op!I102,op!I102+1)))</f>
        <v/>
      </c>
      <c r="J170" s="711" t="str">
        <f>IF(op!J102="","",op!J102)</f>
        <v/>
      </c>
      <c r="K170" s="472"/>
      <c r="L170" s="1049">
        <f>IF(op!L102="","",op!L102)</f>
        <v>0</v>
      </c>
      <c r="M170" s="1049">
        <f>IF(op!M102="","",op!M102)</f>
        <v>0</v>
      </c>
      <c r="N170" s="1051" t="str">
        <f t="shared" si="64"/>
        <v/>
      </c>
      <c r="O170" s="1051" t="str">
        <f t="shared" si="65"/>
        <v/>
      </c>
      <c r="P170" s="1125" t="str">
        <f t="shared" si="66"/>
        <v/>
      </c>
      <c r="Q170" s="472"/>
      <c r="R170" s="923" t="str">
        <f t="shared" si="81"/>
        <v/>
      </c>
      <c r="S170" s="923" t="str">
        <f t="shared" si="67"/>
        <v/>
      </c>
      <c r="T170" s="925" t="str">
        <f t="shared" si="68"/>
        <v/>
      </c>
      <c r="U170" s="545"/>
      <c r="V170" s="1103"/>
      <c r="W170" s="1103"/>
      <c r="X170" s="1060"/>
      <c r="Y170" s="1095" t="e">
        <f t="shared" si="69"/>
        <v>#VALUE!</v>
      </c>
      <c r="Z170" s="1094">
        <f>tab!$B$50</f>
        <v>0.6</v>
      </c>
      <c r="AA170" s="1126" t="e">
        <f t="shared" si="70"/>
        <v>#VALUE!</v>
      </c>
      <c r="AB170" s="1126" t="e">
        <f t="shared" si="71"/>
        <v>#VALUE!</v>
      </c>
      <c r="AC170" s="1126" t="e">
        <f t="shared" si="72"/>
        <v>#VALUE!</v>
      </c>
      <c r="AD170" s="1128" t="e">
        <f t="shared" si="73"/>
        <v>#VALUE!</v>
      </c>
      <c r="AE170" s="1128">
        <f t="shared" si="74"/>
        <v>0</v>
      </c>
      <c r="AF170" s="1096">
        <f>IF(H170&gt;8,tab!$B$51,tab!$B$54)</f>
        <v>0.5</v>
      </c>
      <c r="AG170" s="1097">
        <f t="shared" si="75"/>
        <v>0</v>
      </c>
      <c r="AH170" s="1093">
        <f t="shared" si="76"/>
        <v>0</v>
      </c>
      <c r="AI170" s="1120" t="e">
        <f>DATE(YEAR(tab!$E$3),MONTH(G170),DAY(G170))&gt;tab!$E$3</f>
        <v>#VALUE!</v>
      </c>
      <c r="AJ170" s="1097" t="e">
        <f t="shared" si="77"/>
        <v>#VALUE!</v>
      </c>
      <c r="AK170" s="1041">
        <f t="shared" si="78"/>
        <v>30</v>
      </c>
      <c r="AL170" s="1041">
        <f t="shared" si="79"/>
        <v>30</v>
      </c>
      <c r="AM170" s="1047">
        <f t="shared" si="80"/>
        <v>0</v>
      </c>
      <c r="AS170" s="727"/>
    </row>
    <row r="171" spans="3:45" ht="12.75" customHeight="1" x14ac:dyDescent="0.3">
      <c r="C171" s="122"/>
      <c r="D171" s="388" t="str">
        <f>IF(op!D103="","",op!D103)</f>
        <v/>
      </c>
      <c r="E171" s="388" t="str">
        <f>IF(op!E103=0,"",op!E103)</f>
        <v/>
      </c>
      <c r="F171" s="684" t="str">
        <f>IF(op!F103="","",op!F103+1)</f>
        <v/>
      </c>
      <c r="G171" s="710" t="str">
        <f>IF(op!G103="","",op!G103)</f>
        <v/>
      </c>
      <c r="H171" s="684" t="str">
        <f>IF(op!H103=0,"",op!H103)</f>
        <v/>
      </c>
      <c r="I171" s="389" t="str">
        <f>IF(J171="","",(IF(op!I103+1&gt;LOOKUP(H171,schaal2019,regels2019),op!I103,op!I103+1)))</f>
        <v/>
      </c>
      <c r="J171" s="711" t="str">
        <f>IF(op!J103="","",op!J103)</f>
        <v/>
      </c>
      <c r="K171" s="472"/>
      <c r="L171" s="1049">
        <f>IF(op!L103="","",op!L103)</f>
        <v>0</v>
      </c>
      <c r="M171" s="1049">
        <f>IF(op!M103="","",op!M103)</f>
        <v>0</v>
      </c>
      <c r="N171" s="1051" t="str">
        <f t="shared" si="64"/>
        <v/>
      </c>
      <c r="O171" s="1051" t="str">
        <f t="shared" si="65"/>
        <v/>
      </c>
      <c r="P171" s="1125" t="str">
        <f t="shared" si="66"/>
        <v/>
      </c>
      <c r="Q171" s="472"/>
      <c r="R171" s="923" t="str">
        <f t="shared" si="81"/>
        <v/>
      </c>
      <c r="S171" s="923" t="str">
        <f t="shared" si="67"/>
        <v/>
      </c>
      <c r="T171" s="925" t="str">
        <f t="shared" si="68"/>
        <v/>
      </c>
      <c r="U171" s="545"/>
      <c r="V171" s="1103"/>
      <c r="W171" s="1103"/>
      <c r="X171" s="1060"/>
      <c r="Y171" s="1095" t="e">
        <f t="shared" si="69"/>
        <v>#VALUE!</v>
      </c>
      <c r="Z171" s="1094">
        <f>tab!$B$50</f>
        <v>0.6</v>
      </c>
      <c r="AA171" s="1126" t="e">
        <f t="shared" si="70"/>
        <v>#VALUE!</v>
      </c>
      <c r="AB171" s="1126" t="e">
        <f t="shared" si="71"/>
        <v>#VALUE!</v>
      </c>
      <c r="AC171" s="1126" t="e">
        <f t="shared" si="72"/>
        <v>#VALUE!</v>
      </c>
      <c r="AD171" s="1128" t="e">
        <f t="shared" si="73"/>
        <v>#VALUE!</v>
      </c>
      <c r="AE171" s="1128">
        <f t="shared" si="74"/>
        <v>0</v>
      </c>
      <c r="AF171" s="1096">
        <f>IF(H171&gt;8,tab!$B$51,tab!$B$54)</f>
        <v>0.5</v>
      </c>
      <c r="AG171" s="1097">
        <f t="shared" si="75"/>
        <v>0</v>
      </c>
      <c r="AH171" s="1093">
        <f t="shared" si="76"/>
        <v>0</v>
      </c>
      <c r="AI171" s="1120" t="e">
        <f>DATE(YEAR(tab!$E$3),MONTH(G171),DAY(G171))&gt;tab!$E$3</f>
        <v>#VALUE!</v>
      </c>
      <c r="AJ171" s="1097" t="e">
        <f t="shared" si="77"/>
        <v>#VALUE!</v>
      </c>
      <c r="AK171" s="1041">
        <f t="shared" si="78"/>
        <v>30</v>
      </c>
      <c r="AL171" s="1041">
        <f t="shared" si="79"/>
        <v>30</v>
      </c>
      <c r="AM171" s="1047">
        <f t="shared" si="80"/>
        <v>0</v>
      </c>
      <c r="AS171" s="727"/>
    </row>
    <row r="172" spans="3:45" ht="12.75" customHeight="1" x14ac:dyDescent="0.3">
      <c r="C172" s="122"/>
      <c r="D172" s="388" t="str">
        <f>IF(op!D104="","",op!D104)</f>
        <v/>
      </c>
      <c r="E172" s="388" t="str">
        <f>IF(op!E104=0,"",op!E104)</f>
        <v/>
      </c>
      <c r="F172" s="684" t="str">
        <f>IF(op!F104="","",op!F104+1)</f>
        <v/>
      </c>
      <c r="G172" s="710" t="str">
        <f>IF(op!G104="","",op!G104)</f>
        <v/>
      </c>
      <c r="H172" s="684" t="str">
        <f>IF(op!H104=0,"",op!H104)</f>
        <v/>
      </c>
      <c r="I172" s="389" t="str">
        <f>IF(J172="","",(IF(op!I104+1&gt;LOOKUP(H172,schaal2019,regels2019),op!I104,op!I104+1)))</f>
        <v/>
      </c>
      <c r="J172" s="711" t="str">
        <f>IF(op!J104="","",op!J104)</f>
        <v/>
      </c>
      <c r="K172" s="472"/>
      <c r="L172" s="1049">
        <f>IF(op!L104="","",op!L104)</f>
        <v>0</v>
      </c>
      <c r="M172" s="1049">
        <f>IF(op!M104="","",op!M104)</f>
        <v>0</v>
      </c>
      <c r="N172" s="1051" t="str">
        <f t="shared" si="64"/>
        <v/>
      </c>
      <c r="O172" s="1051" t="str">
        <f t="shared" si="65"/>
        <v/>
      </c>
      <c r="P172" s="1125" t="str">
        <f t="shared" si="66"/>
        <v/>
      </c>
      <c r="Q172" s="472"/>
      <c r="R172" s="923" t="str">
        <f t="shared" si="81"/>
        <v/>
      </c>
      <c r="S172" s="923" t="str">
        <f t="shared" si="67"/>
        <v/>
      </c>
      <c r="T172" s="925" t="str">
        <f t="shared" si="68"/>
        <v/>
      </c>
      <c r="U172" s="545"/>
      <c r="V172" s="1103"/>
      <c r="W172" s="1103"/>
      <c r="X172" s="1060"/>
      <c r="Y172" s="1095" t="e">
        <f t="shared" si="69"/>
        <v>#VALUE!</v>
      </c>
      <c r="Z172" s="1094">
        <f>tab!$B$50</f>
        <v>0.6</v>
      </c>
      <c r="AA172" s="1126" t="e">
        <f t="shared" si="70"/>
        <v>#VALUE!</v>
      </c>
      <c r="AB172" s="1126" t="e">
        <f t="shared" si="71"/>
        <v>#VALUE!</v>
      </c>
      <c r="AC172" s="1126" t="e">
        <f t="shared" si="72"/>
        <v>#VALUE!</v>
      </c>
      <c r="AD172" s="1128" t="e">
        <f t="shared" si="73"/>
        <v>#VALUE!</v>
      </c>
      <c r="AE172" s="1128">
        <f t="shared" si="74"/>
        <v>0</v>
      </c>
      <c r="AF172" s="1096">
        <f>IF(H172&gt;8,tab!$B$51,tab!$B$54)</f>
        <v>0.5</v>
      </c>
      <c r="AG172" s="1097">
        <f t="shared" si="75"/>
        <v>0</v>
      </c>
      <c r="AH172" s="1093">
        <f t="shared" si="76"/>
        <v>0</v>
      </c>
      <c r="AI172" s="1120" t="e">
        <f>DATE(YEAR(tab!$E$3),MONTH(G172),DAY(G172))&gt;tab!$E$3</f>
        <v>#VALUE!</v>
      </c>
      <c r="AJ172" s="1097" t="e">
        <f t="shared" si="77"/>
        <v>#VALUE!</v>
      </c>
      <c r="AK172" s="1041">
        <f t="shared" si="78"/>
        <v>30</v>
      </c>
      <c r="AL172" s="1041">
        <f t="shared" si="79"/>
        <v>30</v>
      </c>
      <c r="AM172" s="1047">
        <f t="shared" si="80"/>
        <v>0</v>
      </c>
      <c r="AS172" s="727"/>
    </row>
    <row r="173" spans="3:45" ht="12.75" customHeight="1" x14ac:dyDescent="0.3">
      <c r="C173" s="122"/>
      <c r="D173" s="388" t="str">
        <f>IF(op!D105="","",op!D105)</f>
        <v/>
      </c>
      <c r="E173" s="388" t="str">
        <f>IF(op!E105=0,"",op!E105)</f>
        <v/>
      </c>
      <c r="F173" s="684" t="str">
        <f>IF(op!F105="","",op!F105+1)</f>
        <v/>
      </c>
      <c r="G173" s="710" t="str">
        <f>IF(op!G105="","",op!G105)</f>
        <v/>
      </c>
      <c r="H173" s="684" t="str">
        <f>IF(op!H105=0,"",op!H105)</f>
        <v/>
      </c>
      <c r="I173" s="389" t="str">
        <f>IF(J173="","",(IF(op!I105+1&gt;LOOKUP(H173,schaal2019,regels2019),op!I105,op!I105+1)))</f>
        <v/>
      </c>
      <c r="J173" s="711" t="str">
        <f>IF(op!J105="","",op!J105)</f>
        <v/>
      </c>
      <c r="K173" s="472"/>
      <c r="L173" s="1049">
        <f>IF(op!L105="","",op!L105)</f>
        <v>0</v>
      </c>
      <c r="M173" s="1049">
        <f>IF(op!M105="","",op!M105)</f>
        <v>0</v>
      </c>
      <c r="N173" s="1051" t="str">
        <f t="shared" si="64"/>
        <v/>
      </c>
      <c r="O173" s="1051" t="str">
        <f t="shared" si="65"/>
        <v/>
      </c>
      <c r="P173" s="1125" t="str">
        <f t="shared" si="66"/>
        <v/>
      </c>
      <c r="Q173" s="472"/>
      <c r="R173" s="923" t="str">
        <f t="shared" si="81"/>
        <v/>
      </c>
      <c r="S173" s="923" t="str">
        <f t="shared" si="67"/>
        <v/>
      </c>
      <c r="T173" s="925" t="str">
        <f t="shared" si="68"/>
        <v/>
      </c>
      <c r="U173" s="545"/>
      <c r="V173" s="1103"/>
      <c r="W173" s="1103"/>
      <c r="X173" s="1060"/>
      <c r="Y173" s="1095" t="e">
        <f t="shared" si="69"/>
        <v>#VALUE!</v>
      </c>
      <c r="Z173" s="1094">
        <f>tab!$B$50</f>
        <v>0.6</v>
      </c>
      <c r="AA173" s="1126" t="e">
        <f t="shared" si="70"/>
        <v>#VALUE!</v>
      </c>
      <c r="AB173" s="1126" t="e">
        <f t="shared" si="71"/>
        <v>#VALUE!</v>
      </c>
      <c r="AC173" s="1126" t="e">
        <f t="shared" si="72"/>
        <v>#VALUE!</v>
      </c>
      <c r="AD173" s="1128" t="e">
        <f t="shared" si="73"/>
        <v>#VALUE!</v>
      </c>
      <c r="AE173" s="1128">
        <f t="shared" si="74"/>
        <v>0</v>
      </c>
      <c r="AF173" s="1096">
        <f>IF(H173&gt;8,tab!$B$51,tab!$B$54)</f>
        <v>0.5</v>
      </c>
      <c r="AG173" s="1097">
        <f t="shared" si="75"/>
        <v>0</v>
      </c>
      <c r="AH173" s="1093">
        <f t="shared" si="76"/>
        <v>0</v>
      </c>
      <c r="AI173" s="1120" t="e">
        <f>DATE(YEAR(tab!$E$3),MONTH(G173),DAY(G173))&gt;tab!$E$3</f>
        <v>#VALUE!</v>
      </c>
      <c r="AJ173" s="1097" t="e">
        <f t="shared" si="77"/>
        <v>#VALUE!</v>
      </c>
      <c r="AK173" s="1041">
        <f t="shared" si="78"/>
        <v>30</v>
      </c>
      <c r="AL173" s="1041">
        <f t="shared" si="79"/>
        <v>30</v>
      </c>
      <c r="AM173" s="1047">
        <f t="shared" si="80"/>
        <v>0</v>
      </c>
      <c r="AS173" s="727"/>
    </row>
    <row r="174" spans="3:45" ht="12.75" customHeight="1" x14ac:dyDescent="0.3">
      <c r="C174" s="122"/>
      <c r="D174" s="388" t="str">
        <f>IF(op!D106="","",op!D106)</f>
        <v/>
      </c>
      <c r="E174" s="388" t="str">
        <f>IF(op!E106=0,"",op!E106)</f>
        <v/>
      </c>
      <c r="F174" s="684" t="str">
        <f>IF(op!F106="","",op!F106+1)</f>
        <v/>
      </c>
      <c r="G174" s="710" t="str">
        <f>IF(op!G106="","",op!G106)</f>
        <v/>
      </c>
      <c r="H174" s="684" t="str">
        <f>IF(op!H106=0,"",op!H106)</f>
        <v/>
      </c>
      <c r="I174" s="389" t="str">
        <f>IF(J174="","",(IF(op!I106+1&gt;LOOKUP(H174,schaal2019,regels2019),op!I106,op!I106+1)))</f>
        <v/>
      </c>
      <c r="J174" s="711" t="str">
        <f>IF(op!J106="","",op!J106)</f>
        <v/>
      </c>
      <c r="K174" s="472"/>
      <c r="L174" s="1049">
        <f>IF(op!L106="","",op!L106)</f>
        <v>0</v>
      </c>
      <c r="M174" s="1049">
        <f>IF(op!M106="","",op!M106)</f>
        <v>0</v>
      </c>
      <c r="N174" s="1051" t="str">
        <f t="shared" si="64"/>
        <v/>
      </c>
      <c r="O174" s="1051" t="str">
        <f t="shared" si="65"/>
        <v/>
      </c>
      <c r="P174" s="1125" t="str">
        <f t="shared" si="66"/>
        <v/>
      </c>
      <c r="Q174" s="472"/>
      <c r="R174" s="923" t="str">
        <f t="shared" si="81"/>
        <v/>
      </c>
      <c r="S174" s="923" t="str">
        <f t="shared" si="67"/>
        <v/>
      </c>
      <c r="T174" s="925" t="str">
        <f t="shared" si="68"/>
        <v/>
      </c>
      <c r="U174" s="545"/>
      <c r="V174" s="1103"/>
      <c r="W174" s="1103"/>
      <c r="X174" s="1060"/>
      <c r="Y174" s="1095" t="e">
        <f t="shared" si="69"/>
        <v>#VALUE!</v>
      </c>
      <c r="Z174" s="1094">
        <f>tab!$B$50</f>
        <v>0.6</v>
      </c>
      <c r="AA174" s="1126" t="e">
        <f t="shared" si="70"/>
        <v>#VALUE!</v>
      </c>
      <c r="AB174" s="1126" t="e">
        <f t="shared" si="71"/>
        <v>#VALUE!</v>
      </c>
      <c r="AC174" s="1126" t="e">
        <f t="shared" si="72"/>
        <v>#VALUE!</v>
      </c>
      <c r="AD174" s="1128" t="e">
        <f t="shared" si="73"/>
        <v>#VALUE!</v>
      </c>
      <c r="AE174" s="1128">
        <f t="shared" si="74"/>
        <v>0</v>
      </c>
      <c r="AF174" s="1096">
        <f>IF(H174&gt;8,tab!$B$51,tab!$B$54)</f>
        <v>0.5</v>
      </c>
      <c r="AG174" s="1097">
        <f t="shared" si="75"/>
        <v>0</v>
      </c>
      <c r="AH174" s="1093">
        <f t="shared" si="76"/>
        <v>0</v>
      </c>
      <c r="AI174" s="1120" t="e">
        <f>DATE(YEAR(tab!$E$3),MONTH(G174),DAY(G174))&gt;tab!$E$3</f>
        <v>#VALUE!</v>
      </c>
      <c r="AJ174" s="1097" t="e">
        <f t="shared" si="77"/>
        <v>#VALUE!</v>
      </c>
      <c r="AK174" s="1041">
        <f t="shared" si="78"/>
        <v>30</v>
      </c>
      <c r="AL174" s="1041">
        <f t="shared" si="79"/>
        <v>30</v>
      </c>
      <c r="AM174" s="1047">
        <f t="shared" si="80"/>
        <v>0</v>
      </c>
      <c r="AS174" s="727"/>
    </row>
    <row r="175" spans="3:45" ht="12.75" customHeight="1" x14ac:dyDescent="0.3">
      <c r="C175" s="122"/>
      <c r="D175" s="388" t="str">
        <f>IF(op!D107="","",op!D107)</f>
        <v/>
      </c>
      <c r="E175" s="388" t="str">
        <f>IF(op!E107=0,"",op!E107)</f>
        <v/>
      </c>
      <c r="F175" s="684" t="str">
        <f>IF(op!F107="","",op!F107+1)</f>
        <v/>
      </c>
      <c r="G175" s="710" t="str">
        <f>IF(op!G107="","",op!G107)</f>
        <v/>
      </c>
      <c r="H175" s="684" t="str">
        <f>IF(op!H107=0,"",op!H107)</f>
        <v/>
      </c>
      <c r="I175" s="389" t="str">
        <f>IF(J175="","",(IF(op!I107+1&gt;LOOKUP(H175,schaal2019,regels2019),op!I107,op!I107+1)))</f>
        <v/>
      </c>
      <c r="J175" s="711" t="str">
        <f>IF(op!J107="","",op!J107)</f>
        <v/>
      </c>
      <c r="K175" s="472"/>
      <c r="L175" s="1049">
        <f>IF(op!L107="","",op!L107)</f>
        <v>0</v>
      </c>
      <c r="M175" s="1049">
        <f>IF(op!M107="","",op!M107)</f>
        <v>0</v>
      </c>
      <c r="N175" s="1051" t="str">
        <f t="shared" si="64"/>
        <v/>
      </c>
      <c r="O175" s="1051" t="str">
        <f t="shared" si="65"/>
        <v/>
      </c>
      <c r="P175" s="1125" t="str">
        <f t="shared" si="66"/>
        <v/>
      </c>
      <c r="Q175" s="472"/>
      <c r="R175" s="923" t="str">
        <f t="shared" si="81"/>
        <v/>
      </c>
      <c r="S175" s="923" t="str">
        <f t="shared" si="67"/>
        <v/>
      </c>
      <c r="T175" s="925" t="str">
        <f t="shared" si="68"/>
        <v/>
      </c>
      <c r="U175" s="545"/>
      <c r="V175" s="1103"/>
      <c r="W175" s="1103"/>
      <c r="X175" s="1060"/>
      <c r="Y175" s="1095" t="e">
        <f t="shared" si="69"/>
        <v>#VALUE!</v>
      </c>
      <c r="Z175" s="1094">
        <f>tab!$B$50</f>
        <v>0.6</v>
      </c>
      <c r="AA175" s="1126" t="e">
        <f t="shared" si="70"/>
        <v>#VALUE!</v>
      </c>
      <c r="AB175" s="1126" t="e">
        <f t="shared" si="71"/>
        <v>#VALUE!</v>
      </c>
      <c r="AC175" s="1126" t="e">
        <f t="shared" si="72"/>
        <v>#VALUE!</v>
      </c>
      <c r="AD175" s="1128" t="e">
        <f t="shared" si="73"/>
        <v>#VALUE!</v>
      </c>
      <c r="AE175" s="1128">
        <f t="shared" si="74"/>
        <v>0</v>
      </c>
      <c r="AF175" s="1096">
        <f>IF(H175&gt;8,tab!$B$51,tab!$B$54)</f>
        <v>0.5</v>
      </c>
      <c r="AG175" s="1097">
        <f t="shared" si="75"/>
        <v>0</v>
      </c>
      <c r="AH175" s="1093">
        <f t="shared" si="76"/>
        <v>0</v>
      </c>
      <c r="AI175" s="1120" t="e">
        <f>DATE(YEAR(tab!$E$3),MONTH(G175),DAY(G175))&gt;tab!$E$3</f>
        <v>#VALUE!</v>
      </c>
      <c r="AJ175" s="1097" t="e">
        <f t="shared" si="77"/>
        <v>#VALUE!</v>
      </c>
      <c r="AK175" s="1041">
        <f t="shared" si="78"/>
        <v>30</v>
      </c>
      <c r="AL175" s="1041">
        <f t="shared" si="79"/>
        <v>30</v>
      </c>
      <c r="AM175" s="1047">
        <f t="shared" si="80"/>
        <v>0</v>
      </c>
      <c r="AS175" s="727"/>
    </row>
    <row r="176" spans="3:45" ht="12.75" customHeight="1" x14ac:dyDescent="0.3">
      <c r="C176" s="122"/>
      <c r="D176" s="388" t="str">
        <f>IF(op!D108="","",op!D108)</f>
        <v/>
      </c>
      <c r="E176" s="388" t="str">
        <f>IF(op!E108=0,"",op!E108)</f>
        <v/>
      </c>
      <c r="F176" s="684" t="str">
        <f>IF(op!F108="","",op!F108+1)</f>
        <v/>
      </c>
      <c r="G176" s="710" t="str">
        <f>IF(op!G108="","",op!G108)</f>
        <v/>
      </c>
      <c r="H176" s="684" t="str">
        <f>IF(op!H108=0,"",op!H108)</f>
        <v/>
      </c>
      <c r="I176" s="389" t="str">
        <f>IF(J176="","",(IF(op!I108+1&gt;LOOKUP(H176,schaal2019,regels2019),op!I108,op!I108+1)))</f>
        <v/>
      </c>
      <c r="J176" s="711" t="str">
        <f>IF(op!J108="","",op!J108)</f>
        <v/>
      </c>
      <c r="K176" s="472"/>
      <c r="L176" s="1049">
        <f>IF(op!L108="","",op!L108)</f>
        <v>0</v>
      </c>
      <c r="M176" s="1049">
        <f>IF(op!M108="","",op!M108)</f>
        <v>0</v>
      </c>
      <c r="N176" s="1051" t="str">
        <f t="shared" si="64"/>
        <v/>
      </c>
      <c r="O176" s="1051" t="str">
        <f t="shared" si="65"/>
        <v/>
      </c>
      <c r="P176" s="1125" t="str">
        <f t="shared" si="66"/>
        <v/>
      </c>
      <c r="Q176" s="472"/>
      <c r="R176" s="923" t="str">
        <f t="shared" si="81"/>
        <v/>
      </c>
      <c r="S176" s="923" t="str">
        <f t="shared" si="67"/>
        <v/>
      </c>
      <c r="T176" s="925" t="str">
        <f t="shared" si="68"/>
        <v/>
      </c>
      <c r="U176" s="545"/>
      <c r="V176" s="1103"/>
      <c r="W176" s="1103"/>
      <c r="X176" s="1060"/>
      <c r="Y176" s="1095" t="e">
        <f t="shared" si="69"/>
        <v>#VALUE!</v>
      </c>
      <c r="Z176" s="1094">
        <f>tab!$B$50</f>
        <v>0.6</v>
      </c>
      <c r="AA176" s="1126" t="e">
        <f t="shared" si="70"/>
        <v>#VALUE!</v>
      </c>
      <c r="AB176" s="1126" t="e">
        <f t="shared" si="71"/>
        <v>#VALUE!</v>
      </c>
      <c r="AC176" s="1126" t="e">
        <f t="shared" si="72"/>
        <v>#VALUE!</v>
      </c>
      <c r="AD176" s="1128" t="e">
        <f t="shared" si="73"/>
        <v>#VALUE!</v>
      </c>
      <c r="AE176" s="1128">
        <f t="shared" si="74"/>
        <v>0</v>
      </c>
      <c r="AF176" s="1096">
        <f>IF(H176&gt;8,tab!$B$51,tab!$B$54)</f>
        <v>0.5</v>
      </c>
      <c r="AG176" s="1097">
        <f t="shared" si="75"/>
        <v>0</v>
      </c>
      <c r="AH176" s="1093">
        <f t="shared" si="76"/>
        <v>0</v>
      </c>
      <c r="AI176" s="1120" t="e">
        <f>DATE(YEAR(tab!$E$3),MONTH(G176),DAY(G176))&gt;tab!$E$3</f>
        <v>#VALUE!</v>
      </c>
      <c r="AJ176" s="1097" t="e">
        <f t="shared" si="77"/>
        <v>#VALUE!</v>
      </c>
      <c r="AK176" s="1041">
        <f t="shared" si="78"/>
        <v>30</v>
      </c>
      <c r="AL176" s="1041">
        <f t="shared" si="79"/>
        <v>30</v>
      </c>
      <c r="AM176" s="1047">
        <f t="shared" si="80"/>
        <v>0</v>
      </c>
      <c r="AS176" s="727"/>
    </row>
    <row r="177" spans="3:45" ht="12.75" customHeight="1" x14ac:dyDescent="0.3">
      <c r="C177" s="122"/>
      <c r="D177" s="388" t="str">
        <f>IF(op!D109="","",op!D109)</f>
        <v/>
      </c>
      <c r="E177" s="388" t="str">
        <f>IF(op!E109=0,"",op!E109)</f>
        <v/>
      </c>
      <c r="F177" s="684" t="str">
        <f>IF(op!F109="","",op!F109+1)</f>
        <v/>
      </c>
      <c r="G177" s="710" t="str">
        <f>IF(op!G109="","",op!G109)</f>
        <v/>
      </c>
      <c r="H177" s="684" t="str">
        <f>IF(op!H109=0,"",op!H109)</f>
        <v/>
      </c>
      <c r="I177" s="389" t="str">
        <f>IF(J177="","",(IF(op!I109+1&gt;LOOKUP(H177,schaal2019,regels2019),op!I109,op!I109+1)))</f>
        <v/>
      </c>
      <c r="J177" s="711" t="str">
        <f>IF(op!J109="","",op!J109)</f>
        <v/>
      </c>
      <c r="K177" s="472"/>
      <c r="L177" s="1049">
        <f>IF(op!L109="","",op!L109)</f>
        <v>0</v>
      </c>
      <c r="M177" s="1049">
        <f>IF(op!M109="","",op!M109)</f>
        <v>0</v>
      </c>
      <c r="N177" s="1051" t="str">
        <f t="shared" si="64"/>
        <v/>
      </c>
      <c r="O177" s="1051" t="str">
        <f t="shared" si="65"/>
        <v/>
      </c>
      <c r="P177" s="1125" t="str">
        <f t="shared" si="66"/>
        <v/>
      </c>
      <c r="Q177" s="472"/>
      <c r="R177" s="923" t="str">
        <f t="shared" si="81"/>
        <v/>
      </c>
      <c r="S177" s="923" t="str">
        <f t="shared" si="67"/>
        <v/>
      </c>
      <c r="T177" s="925" t="str">
        <f t="shared" si="68"/>
        <v/>
      </c>
      <c r="U177" s="545"/>
      <c r="V177" s="1103"/>
      <c r="W177" s="1103"/>
      <c r="X177" s="1060"/>
      <c r="Y177" s="1095" t="e">
        <f t="shared" si="69"/>
        <v>#VALUE!</v>
      </c>
      <c r="Z177" s="1094">
        <f>tab!$B$50</f>
        <v>0.6</v>
      </c>
      <c r="AA177" s="1126" t="e">
        <f t="shared" si="70"/>
        <v>#VALUE!</v>
      </c>
      <c r="AB177" s="1126" t="e">
        <f t="shared" si="71"/>
        <v>#VALUE!</v>
      </c>
      <c r="AC177" s="1126" t="e">
        <f t="shared" si="72"/>
        <v>#VALUE!</v>
      </c>
      <c r="AD177" s="1128" t="e">
        <f t="shared" si="73"/>
        <v>#VALUE!</v>
      </c>
      <c r="AE177" s="1128">
        <f t="shared" si="74"/>
        <v>0</v>
      </c>
      <c r="AF177" s="1096">
        <f>IF(H177&gt;8,tab!$B$51,tab!$B$54)</f>
        <v>0.5</v>
      </c>
      <c r="AG177" s="1097">
        <f t="shared" si="75"/>
        <v>0</v>
      </c>
      <c r="AH177" s="1093">
        <f t="shared" si="76"/>
        <v>0</v>
      </c>
      <c r="AI177" s="1120" t="e">
        <f>DATE(YEAR(tab!$E$3),MONTH(G177),DAY(G177))&gt;tab!$E$3</f>
        <v>#VALUE!</v>
      </c>
      <c r="AJ177" s="1097" t="e">
        <f t="shared" si="77"/>
        <v>#VALUE!</v>
      </c>
      <c r="AK177" s="1041">
        <f t="shared" si="78"/>
        <v>30</v>
      </c>
      <c r="AL177" s="1041">
        <f t="shared" si="79"/>
        <v>30</v>
      </c>
      <c r="AM177" s="1047">
        <f t="shared" si="80"/>
        <v>0</v>
      </c>
      <c r="AS177" s="727"/>
    </row>
    <row r="178" spans="3:45" ht="12.75" customHeight="1" x14ac:dyDescent="0.3">
      <c r="C178" s="122"/>
      <c r="D178" s="388" t="str">
        <f>IF(op!D110="","",op!D110)</f>
        <v/>
      </c>
      <c r="E178" s="388" t="str">
        <f>IF(op!E110=0,"",op!E110)</f>
        <v/>
      </c>
      <c r="F178" s="684" t="str">
        <f>IF(op!F110="","",op!F110+1)</f>
        <v/>
      </c>
      <c r="G178" s="710" t="str">
        <f>IF(op!G110="","",op!G110)</f>
        <v/>
      </c>
      <c r="H178" s="684" t="str">
        <f>IF(op!H110=0,"",op!H110)</f>
        <v/>
      </c>
      <c r="I178" s="389" t="str">
        <f>IF(J178="","",(IF(op!I110+1&gt;LOOKUP(H178,schaal2019,regels2019),op!I110,op!I110+1)))</f>
        <v/>
      </c>
      <c r="J178" s="711" t="str">
        <f>IF(op!J110="","",op!J110)</f>
        <v/>
      </c>
      <c r="K178" s="472"/>
      <c r="L178" s="1049">
        <f>IF(op!L110="","",op!L110)</f>
        <v>0</v>
      </c>
      <c r="M178" s="1049">
        <f>IF(op!M110="","",op!M110)</f>
        <v>0</v>
      </c>
      <c r="N178" s="1051" t="str">
        <f t="shared" si="64"/>
        <v/>
      </c>
      <c r="O178" s="1051" t="str">
        <f t="shared" si="65"/>
        <v/>
      </c>
      <c r="P178" s="1125" t="str">
        <f t="shared" si="66"/>
        <v/>
      </c>
      <c r="Q178" s="472"/>
      <c r="R178" s="923" t="str">
        <f t="shared" si="81"/>
        <v/>
      </c>
      <c r="S178" s="923" t="str">
        <f t="shared" si="67"/>
        <v/>
      </c>
      <c r="T178" s="925" t="str">
        <f t="shared" si="68"/>
        <v/>
      </c>
      <c r="U178" s="545"/>
      <c r="V178" s="1103"/>
      <c r="W178" s="1103"/>
      <c r="X178" s="1060"/>
      <c r="Y178" s="1095" t="e">
        <f t="shared" si="69"/>
        <v>#VALUE!</v>
      </c>
      <c r="Z178" s="1094">
        <f>tab!$B$50</f>
        <v>0.6</v>
      </c>
      <c r="AA178" s="1126" t="e">
        <f t="shared" si="70"/>
        <v>#VALUE!</v>
      </c>
      <c r="AB178" s="1126" t="e">
        <f t="shared" si="71"/>
        <v>#VALUE!</v>
      </c>
      <c r="AC178" s="1126" t="e">
        <f t="shared" si="72"/>
        <v>#VALUE!</v>
      </c>
      <c r="AD178" s="1128" t="e">
        <f t="shared" si="73"/>
        <v>#VALUE!</v>
      </c>
      <c r="AE178" s="1128">
        <f t="shared" si="74"/>
        <v>0</v>
      </c>
      <c r="AF178" s="1096">
        <f>IF(H178&gt;8,tab!$B$51,tab!$B$54)</f>
        <v>0.5</v>
      </c>
      <c r="AG178" s="1097">
        <f t="shared" si="75"/>
        <v>0</v>
      </c>
      <c r="AH178" s="1093">
        <f t="shared" si="76"/>
        <v>0</v>
      </c>
      <c r="AI178" s="1120" t="e">
        <f>DATE(YEAR(tab!$E$3),MONTH(G178),DAY(G178))&gt;tab!$E$3</f>
        <v>#VALUE!</v>
      </c>
      <c r="AJ178" s="1097" t="e">
        <f t="shared" si="77"/>
        <v>#VALUE!</v>
      </c>
      <c r="AK178" s="1041">
        <f t="shared" si="78"/>
        <v>30</v>
      </c>
      <c r="AL178" s="1041">
        <f t="shared" si="79"/>
        <v>30</v>
      </c>
      <c r="AM178" s="1047">
        <f t="shared" si="80"/>
        <v>0</v>
      </c>
      <c r="AS178" s="727"/>
    </row>
    <row r="179" spans="3:45" ht="12.75" customHeight="1" x14ac:dyDescent="0.3">
      <c r="C179" s="122"/>
      <c r="D179" s="388" t="str">
        <f>IF(op!D111="","",op!D111)</f>
        <v/>
      </c>
      <c r="E179" s="388" t="str">
        <f>IF(op!E111=0,"",op!E111)</f>
        <v/>
      </c>
      <c r="F179" s="684" t="str">
        <f>IF(op!F111="","",op!F111+1)</f>
        <v/>
      </c>
      <c r="G179" s="710" t="str">
        <f>IF(op!G111="","",op!G111)</f>
        <v/>
      </c>
      <c r="H179" s="684" t="str">
        <f>IF(op!H111=0,"",op!H111)</f>
        <v/>
      </c>
      <c r="I179" s="389" t="str">
        <f>IF(J179="","",(IF(op!I111+1&gt;LOOKUP(H179,schaal2019,regels2019),op!I111,op!I111+1)))</f>
        <v/>
      </c>
      <c r="J179" s="711" t="str">
        <f>IF(op!J111="","",op!J111)</f>
        <v/>
      </c>
      <c r="K179" s="472"/>
      <c r="L179" s="1049">
        <f>IF(op!L111="","",op!L111)</f>
        <v>0</v>
      </c>
      <c r="M179" s="1049">
        <f>IF(op!M111="","",op!M111)</f>
        <v>0</v>
      </c>
      <c r="N179" s="1051" t="str">
        <f t="shared" si="64"/>
        <v/>
      </c>
      <c r="O179" s="1051" t="str">
        <f t="shared" si="65"/>
        <v/>
      </c>
      <c r="P179" s="1125" t="str">
        <f t="shared" si="66"/>
        <v/>
      </c>
      <c r="Q179" s="472"/>
      <c r="R179" s="923" t="str">
        <f t="shared" si="81"/>
        <v/>
      </c>
      <c r="S179" s="923" t="str">
        <f t="shared" si="67"/>
        <v/>
      </c>
      <c r="T179" s="925" t="str">
        <f t="shared" si="68"/>
        <v/>
      </c>
      <c r="U179" s="545"/>
      <c r="V179" s="1103"/>
      <c r="W179" s="1103"/>
      <c r="X179" s="1060"/>
      <c r="Y179" s="1095" t="e">
        <f t="shared" si="69"/>
        <v>#VALUE!</v>
      </c>
      <c r="Z179" s="1094">
        <f>tab!$B$50</f>
        <v>0.6</v>
      </c>
      <c r="AA179" s="1126" t="e">
        <f t="shared" si="70"/>
        <v>#VALUE!</v>
      </c>
      <c r="AB179" s="1126" t="e">
        <f t="shared" si="71"/>
        <v>#VALUE!</v>
      </c>
      <c r="AC179" s="1126" t="e">
        <f t="shared" si="72"/>
        <v>#VALUE!</v>
      </c>
      <c r="AD179" s="1128" t="e">
        <f t="shared" si="73"/>
        <v>#VALUE!</v>
      </c>
      <c r="AE179" s="1128">
        <f t="shared" si="74"/>
        <v>0</v>
      </c>
      <c r="AF179" s="1096">
        <f>IF(H179&gt;8,tab!$B$51,tab!$B$54)</f>
        <v>0.5</v>
      </c>
      <c r="AG179" s="1097">
        <f t="shared" si="75"/>
        <v>0</v>
      </c>
      <c r="AH179" s="1093">
        <f t="shared" si="76"/>
        <v>0</v>
      </c>
      <c r="AI179" s="1120" t="e">
        <f>DATE(YEAR(tab!$E$3),MONTH(G179),DAY(G179))&gt;tab!$E$3</f>
        <v>#VALUE!</v>
      </c>
      <c r="AJ179" s="1097" t="e">
        <f t="shared" si="77"/>
        <v>#VALUE!</v>
      </c>
      <c r="AK179" s="1041">
        <f t="shared" si="78"/>
        <v>30</v>
      </c>
      <c r="AL179" s="1041">
        <f t="shared" si="79"/>
        <v>30</v>
      </c>
      <c r="AM179" s="1047">
        <f t="shared" si="80"/>
        <v>0</v>
      </c>
      <c r="AS179" s="727"/>
    </row>
    <row r="180" spans="3:45" ht="12.75" customHeight="1" x14ac:dyDescent="0.3">
      <c r="C180" s="122"/>
      <c r="D180" s="388" t="str">
        <f>IF(op!D112="","",op!D112)</f>
        <v/>
      </c>
      <c r="E180" s="388" t="str">
        <f>IF(op!E112=0,"",op!E112)</f>
        <v/>
      </c>
      <c r="F180" s="684" t="str">
        <f>IF(op!F112="","",op!F112+1)</f>
        <v/>
      </c>
      <c r="G180" s="710" t="str">
        <f>IF(op!G112="","",op!G112)</f>
        <v/>
      </c>
      <c r="H180" s="684" t="str">
        <f>IF(op!H112=0,"",op!H112)</f>
        <v/>
      </c>
      <c r="I180" s="389" t="str">
        <f>IF(J180="","",(IF(op!I112+1&gt;LOOKUP(H180,schaal2019,regels2019),op!I112,op!I112+1)))</f>
        <v/>
      </c>
      <c r="J180" s="711" t="str">
        <f>IF(op!J112="","",op!J112)</f>
        <v/>
      </c>
      <c r="K180" s="472"/>
      <c r="L180" s="1049">
        <f>IF(op!L112="","",op!L112)</f>
        <v>0</v>
      </c>
      <c r="M180" s="1049">
        <f>IF(op!M112="","",op!M112)</f>
        <v>0</v>
      </c>
      <c r="N180" s="1051" t="str">
        <f t="shared" si="64"/>
        <v/>
      </c>
      <c r="O180" s="1051" t="str">
        <f t="shared" si="65"/>
        <v/>
      </c>
      <c r="P180" s="1125" t="str">
        <f t="shared" si="66"/>
        <v/>
      </c>
      <c r="Q180" s="472"/>
      <c r="R180" s="923" t="str">
        <f t="shared" si="81"/>
        <v/>
      </c>
      <c r="S180" s="923" t="str">
        <f t="shared" si="67"/>
        <v/>
      </c>
      <c r="T180" s="925" t="str">
        <f t="shared" si="68"/>
        <v/>
      </c>
      <c r="U180" s="545"/>
      <c r="V180" s="1103"/>
      <c r="W180" s="1103"/>
      <c r="X180" s="1060"/>
      <c r="Y180" s="1095" t="e">
        <f t="shared" si="69"/>
        <v>#VALUE!</v>
      </c>
      <c r="Z180" s="1094">
        <f>tab!$B$50</f>
        <v>0.6</v>
      </c>
      <c r="AA180" s="1126" t="e">
        <f t="shared" si="70"/>
        <v>#VALUE!</v>
      </c>
      <c r="AB180" s="1126" t="e">
        <f t="shared" si="71"/>
        <v>#VALUE!</v>
      </c>
      <c r="AC180" s="1126" t="e">
        <f t="shared" si="72"/>
        <v>#VALUE!</v>
      </c>
      <c r="AD180" s="1128" t="e">
        <f t="shared" si="73"/>
        <v>#VALUE!</v>
      </c>
      <c r="AE180" s="1128">
        <f t="shared" si="74"/>
        <v>0</v>
      </c>
      <c r="AF180" s="1096">
        <f>IF(H180&gt;8,tab!$B$51,tab!$B$54)</f>
        <v>0.5</v>
      </c>
      <c r="AG180" s="1097">
        <f t="shared" si="75"/>
        <v>0</v>
      </c>
      <c r="AH180" s="1093">
        <f t="shared" si="76"/>
        <v>0</v>
      </c>
      <c r="AI180" s="1120" t="e">
        <f>DATE(YEAR(tab!$E$3),MONTH(G180),DAY(G180))&gt;tab!$E$3</f>
        <v>#VALUE!</v>
      </c>
      <c r="AJ180" s="1097" t="e">
        <f t="shared" si="77"/>
        <v>#VALUE!</v>
      </c>
      <c r="AK180" s="1041">
        <f t="shared" si="78"/>
        <v>30</v>
      </c>
      <c r="AL180" s="1041">
        <f t="shared" si="79"/>
        <v>30</v>
      </c>
      <c r="AM180" s="1047">
        <f t="shared" si="80"/>
        <v>0</v>
      </c>
      <c r="AS180" s="727"/>
    </row>
    <row r="181" spans="3:45" ht="12.75" customHeight="1" x14ac:dyDescent="0.3">
      <c r="C181" s="122"/>
      <c r="D181" s="388" t="str">
        <f>IF(op!D113="","",op!D113)</f>
        <v/>
      </c>
      <c r="E181" s="388" t="str">
        <f>IF(op!E113=0,"",op!E113)</f>
        <v/>
      </c>
      <c r="F181" s="684" t="str">
        <f>IF(op!F113="","",op!F113+1)</f>
        <v/>
      </c>
      <c r="G181" s="710" t="str">
        <f>IF(op!G113="","",op!G113)</f>
        <v/>
      </c>
      <c r="H181" s="684" t="str">
        <f>IF(op!H113=0,"",op!H113)</f>
        <v/>
      </c>
      <c r="I181" s="389" t="str">
        <f>IF(J181="","",(IF(op!I113+1&gt;LOOKUP(H181,schaal2019,regels2019),op!I113,op!I113+1)))</f>
        <v/>
      </c>
      <c r="J181" s="711" t="str">
        <f>IF(op!J113="","",op!J113)</f>
        <v/>
      </c>
      <c r="K181" s="472"/>
      <c r="L181" s="1049">
        <f>IF(op!L113="","",op!L113)</f>
        <v>0</v>
      </c>
      <c r="M181" s="1049">
        <f>IF(op!M113="","",op!M113)</f>
        <v>0</v>
      </c>
      <c r="N181" s="1051" t="str">
        <f t="shared" si="64"/>
        <v/>
      </c>
      <c r="O181" s="1051" t="str">
        <f t="shared" si="65"/>
        <v/>
      </c>
      <c r="P181" s="1125" t="str">
        <f t="shared" si="66"/>
        <v/>
      </c>
      <c r="Q181" s="472"/>
      <c r="R181" s="923" t="str">
        <f t="shared" si="81"/>
        <v/>
      </c>
      <c r="S181" s="923" t="str">
        <f t="shared" si="67"/>
        <v/>
      </c>
      <c r="T181" s="925" t="str">
        <f t="shared" si="68"/>
        <v/>
      </c>
      <c r="U181" s="545"/>
      <c r="V181" s="1103"/>
      <c r="W181" s="1103"/>
      <c r="X181" s="1060"/>
      <c r="Y181" s="1095" t="e">
        <f t="shared" si="69"/>
        <v>#VALUE!</v>
      </c>
      <c r="Z181" s="1094">
        <f>tab!$B$50</f>
        <v>0.6</v>
      </c>
      <c r="AA181" s="1126" t="e">
        <f t="shared" si="70"/>
        <v>#VALUE!</v>
      </c>
      <c r="AB181" s="1126" t="e">
        <f t="shared" si="71"/>
        <v>#VALUE!</v>
      </c>
      <c r="AC181" s="1126" t="e">
        <f t="shared" si="72"/>
        <v>#VALUE!</v>
      </c>
      <c r="AD181" s="1128" t="e">
        <f t="shared" si="73"/>
        <v>#VALUE!</v>
      </c>
      <c r="AE181" s="1128">
        <f t="shared" si="74"/>
        <v>0</v>
      </c>
      <c r="AF181" s="1096">
        <f>IF(H181&gt;8,tab!$B$51,tab!$B$54)</f>
        <v>0.5</v>
      </c>
      <c r="AG181" s="1097">
        <f t="shared" si="75"/>
        <v>0</v>
      </c>
      <c r="AH181" s="1093">
        <f t="shared" si="76"/>
        <v>0</v>
      </c>
      <c r="AI181" s="1120" t="e">
        <f>DATE(YEAR(tab!$E$3),MONTH(G181),DAY(G181))&gt;tab!$E$3</f>
        <v>#VALUE!</v>
      </c>
      <c r="AJ181" s="1097" t="e">
        <f t="shared" si="77"/>
        <v>#VALUE!</v>
      </c>
      <c r="AK181" s="1041">
        <f t="shared" si="78"/>
        <v>30</v>
      </c>
      <c r="AL181" s="1041">
        <f t="shared" si="79"/>
        <v>30</v>
      </c>
      <c r="AM181" s="1047">
        <f t="shared" si="80"/>
        <v>0</v>
      </c>
      <c r="AS181" s="727"/>
    </row>
    <row r="182" spans="3:45" ht="12.75" customHeight="1" x14ac:dyDescent="0.3">
      <c r="C182" s="122"/>
      <c r="D182" s="388" t="str">
        <f>IF(op!D114="","",op!D114)</f>
        <v/>
      </c>
      <c r="E182" s="388" t="str">
        <f>IF(op!E114=0,"",op!E114)</f>
        <v/>
      </c>
      <c r="F182" s="684" t="str">
        <f>IF(op!F114="","",op!F114+1)</f>
        <v/>
      </c>
      <c r="G182" s="710" t="str">
        <f>IF(op!G114="","",op!G114)</f>
        <v/>
      </c>
      <c r="H182" s="684" t="str">
        <f>IF(op!H114=0,"",op!H114)</f>
        <v/>
      </c>
      <c r="I182" s="389" t="str">
        <f>IF(J182="","",(IF(op!I114+1&gt;LOOKUP(H182,schaal2019,regels2019),op!I114,op!I114+1)))</f>
        <v/>
      </c>
      <c r="J182" s="711" t="str">
        <f>IF(op!J114="","",op!J114)</f>
        <v/>
      </c>
      <c r="K182" s="472"/>
      <c r="L182" s="1049">
        <f>IF(op!L114="","",op!L114)</f>
        <v>0</v>
      </c>
      <c r="M182" s="1049">
        <f>IF(op!M114="","",op!M114)</f>
        <v>0</v>
      </c>
      <c r="N182" s="1051" t="str">
        <f t="shared" si="64"/>
        <v/>
      </c>
      <c r="O182" s="1051" t="str">
        <f t="shared" si="65"/>
        <v/>
      </c>
      <c r="P182" s="1125" t="str">
        <f t="shared" si="66"/>
        <v/>
      </c>
      <c r="Q182" s="472"/>
      <c r="R182" s="923" t="str">
        <f t="shared" si="81"/>
        <v/>
      </c>
      <c r="S182" s="923" t="str">
        <f t="shared" si="67"/>
        <v/>
      </c>
      <c r="T182" s="925" t="str">
        <f t="shared" si="68"/>
        <v/>
      </c>
      <c r="U182" s="545"/>
      <c r="V182" s="1103"/>
      <c r="W182" s="1103"/>
      <c r="X182" s="1060"/>
      <c r="Y182" s="1095" t="e">
        <f t="shared" si="69"/>
        <v>#VALUE!</v>
      </c>
      <c r="Z182" s="1094">
        <f>tab!$B$50</f>
        <v>0.6</v>
      </c>
      <c r="AA182" s="1126" t="e">
        <f t="shared" si="70"/>
        <v>#VALUE!</v>
      </c>
      <c r="AB182" s="1126" t="e">
        <f t="shared" si="71"/>
        <v>#VALUE!</v>
      </c>
      <c r="AC182" s="1126" t="e">
        <f t="shared" si="72"/>
        <v>#VALUE!</v>
      </c>
      <c r="AD182" s="1128" t="e">
        <f t="shared" si="73"/>
        <v>#VALUE!</v>
      </c>
      <c r="AE182" s="1128">
        <f t="shared" si="74"/>
        <v>0</v>
      </c>
      <c r="AF182" s="1096">
        <f>IF(H182&gt;8,tab!$B$51,tab!$B$54)</f>
        <v>0.5</v>
      </c>
      <c r="AG182" s="1097">
        <f t="shared" si="75"/>
        <v>0</v>
      </c>
      <c r="AH182" s="1093">
        <f t="shared" si="76"/>
        <v>0</v>
      </c>
      <c r="AI182" s="1120" t="e">
        <f>DATE(YEAR(tab!$E$3),MONTH(G182),DAY(G182))&gt;tab!$E$3</f>
        <v>#VALUE!</v>
      </c>
      <c r="AJ182" s="1097" t="e">
        <f t="shared" si="77"/>
        <v>#VALUE!</v>
      </c>
      <c r="AK182" s="1041">
        <f t="shared" si="78"/>
        <v>30</v>
      </c>
      <c r="AL182" s="1041">
        <f t="shared" si="79"/>
        <v>30</v>
      </c>
      <c r="AM182" s="1047">
        <f t="shared" si="80"/>
        <v>0</v>
      </c>
      <c r="AS182" s="727"/>
    </row>
    <row r="183" spans="3:45" ht="12.75" customHeight="1" x14ac:dyDescent="0.3">
      <c r="C183" s="122"/>
      <c r="D183" s="388" t="str">
        <f>IF(op!D115="","",op!D115)</f>
        <v/>
      </c>
      <c r="E183" s="388" t="str">
        <f>IF(op!E115=0,"",op!E115)</f>
        <v/>
      </c>
      <c r="F183" s="684" t="str">
        <f>IF(op!F115="","",op!F115+1)</f>
        <v/>
      </c>
      <c r="G183" s="710" t="str">
        <f>IF(op!G115="","",op!G115)</f>
        <v/>
      </c>
      <c r="H183" s="684" t="str">
        <f>IF(op!H115=0,"",op!H115)</f>
        <v/>
      </c>
      <c r="I183" s="389" t="str">
        <f>IF(J183="","",(IF(op!I115+1&gt;LOOKUP(H183,schaal2019,regels2019),op!I115,op!I115+1)))</f>
        <v/>
      </c>
      <c r="J183" s="711" t="str">
        <f>IF(op!J115="","",op!J115)</f>
        <v/>
      </c>
      <c r="K183" s="472"/>
      <c r="L183" s="1049">
        <f>IF(op!L115="","",op!L115)</f>
        <v>0</v>
      </c>
      <c r="M183" s="1049">
        <f>IF(op!M115="","",op!M115)</f>
        <v>0</v>
      </c>
      <c r="N183" s="1051" t="str">
        <f t="shared" si="64"/>
        <v/>
      </c>
      <c r="O183" s="1051" t="str">
        <f t="shared" si="65"/>
        <v/>
      </c>
      <c r="P183" s="1125" t="str">
        <f t="shared" si="66"/>
        <v/>
      </c>
      <c r="Q183" s="472"/>
      <c r="R183" s="923" t="str">
        <f t="shared" si="81"/>
        <v/>
      </c>
      <c r="S183" s="923" t="str">
        <f t="shared" si="67"/>
        <v/>
      </c>
      <c r="T183" s="925" t="str">
        <f t="shared" si="68"/>
        <v/>
      </c>
      <c r="U183" s="545"/>
      <c r="V183" s="1103"/>
      <c r="W183" s="1103"/>
      <c r="X183" s="1060"/>
      <c r="Y183" s="1095" t="e">
        <f t="shared" si="69"/>
        <v>#VALUE!</v>
      </c>
      <c r="Z183" s="1094">
        <f>tab!$B$50</f>
        <v>0.6</v>
      </c>
      <c r="AA183" s="1126" t="e">
        <f t="shared" si="70"/>
        <v>#VALUE!</v>
      </c>
      <c r="AB183" s="1126" t="e">
        <f t="shared" si="71"/>
        <v>#VALUE!</v>
      </c>
      <c r="AC183" s="1126" t="e">
        <f t="shared" si="72"/>
        <v>#VALUE!</v>
      </c>
      <c r="AD183" s="1128" t="e">
        <f t="shared" si="73"/>
        <v>#VALUE!</v>
      </c>
      <c r="AE183" s="1128">
        <f t="shared" si="74"/>
        <v>0</v>
      </c>
      <c r="AF183" s="1096">
        <f>IF(H183&gt;8,tab!$B$51,tab!$B$54)</f>
        <v>0.5</v>
      </c>
      <c r="AG183" s="1097">
        <f t="shared" si="75"/>
        <v>0</v>
      </c>
      <c r="AH183" s="1093">
        <f t="shared" si="76"/>
        <v>0</v>
      </c>
      <c r="AI183" s="1120" t="e">
        <f>DATE(YEAR(tab!$E$3),MONTH(G183),DAY(G183))&gt;tab!$E$3</f>
        <v>#VALUE!</v>
      </c>
      <c r="AJ183" s="1097" t="e">
        <f t="shared" si="77"/>
        <v>#VALUE!</v>
      </c>
      <c r="AK183" s="1041">
        <f t="shared" si="78"/>
        <v>30</v>
      </c>
      <c r="AL183" s="1041">
        <f t="shared" si="79"/>
        <v>30</v>
      </c>
      <c r="AM183" s="1047">
        <f t="shared" si="80"/>
        <v>0</v>
      </c>
      <c r="AS183" s="727"/>
    </row>
    <row r="184" spans="3:45" ht="12.75" customHeight="1" x14ac:dyDescent="0.3">
      <c r="C184" s="122"/>
      <c r="D184" s="388" t="str">
        <f>IF(op!D116="","",op!D116)</f>
        <v/>
      </c>
      <c r="E184" s="388" t="str">
        <f>IF(op!E116=0,"",op!E116)</f>
        <v/>
      </c>
      <c r="F184" s="684" t="str">
        <f>IF(op!F116="","",op!F116+1)</f>
        <v/>
      </c>
      <c r="G184" s="710" t="str">
        <f>IF(op!G116="","",op!G116)</f>
        <v/>
      </c>
      <c r="H184" s="684" t="str">
        <f>IF(op!H116=0,"",op!H116)</f>
        <v/>
      </c>
      <c r="I184" s="389" t="str">
        <f>IF(J184="","",(IF(op!I116+1&gt;LOOKUP(H184,schaal2019,regels2019),op!I116,op!I116+1)))</f>
        <v/>
      </c>
      <c r="J184" s="711" t="str">
        <f>IF(op!J116="","",op!J116)</f>
        <v/>
      </c>
      <c r="K184" s="472"/>
      <c r="L184" s="1049">
        <f>IF(op!L116="","",op!L116)</f>
        <v>0</v>
      </c>
      <c r="M184" s="1049">
        <f>IF(op!M116="","",op!M116)</f>
        <v>0</v>
      </c>
      <c r="N184" s="1051" t="str">
        <f t="shared" si="64"/>
        <v/>
      </c>
      <c r="O184" s="1051" t="str">
        <f t="shared" si="65"/>
        <v/>
      </c>
      <c r="P184" s="1125" t="str">
        <f t="shared" si="66"/>
        <v/>
      </c>
      <c r="Q184" s="472"/>
      <c r="R184" s="923" t="str">
        <f t="shared" si="81"/>
        <v/>
      </c>
      <c r="S184" s="923" t="str">
        <f t="shared" si="67"/>
        <v/>
      </c>
      <c r="T184" s="925" t="str">
        <f t="shared" si="68"/>
        <v/>
      </c>
      <c r="U184" s="545"/>
      <c r="V184" s="1103"/>
      <c r="W184" s="1103"/>
      <c r="X184" s="1060"/>
      <c r="Y184" s="1095" t="e">
        <f t="shared" ref="Y184:Y206" si="82">ROUND(5/12*VLOOKUP(H184,salaris2021,I184+1,FALSE)+7/12*VLOOKUP(H184,salaris2021,I184+1,FALSE),0)</f>
        <v>#VALUE!</v>
      </c>
      <c r="Z184" s="1094">
        <f>tab!$B$50</f>
        <v>0.6</v>
      </c>
      <c r="AA184" s="1126" t="e">
        <f t="shared" si="70"/>
        <v>#VALUE!</v>
      </c>
      <c r="AB184" s="1126" t="e">
        <f t="shared" si="71"/>
        <v>#VALUE!</v>
      </c>
      <c r="AC184" s="1126" t="e">
        <f t="shared" si="72"/>
        <v>#VALUE!</v>
      </c>
      <c r="AD184" s="1128" t="e">
        <f t="shared" si="73"/>
        <v>#VALUE!</v>
      </c>
      <c r="AE184" s="1128">
        <f t="shared" si="74"/>
        <v>0</v>
      </c>
      <c r="AF184" s="1096">
        <f>IF(H184&gt;8,tab!$B$51,tab!$B$54)</f>
        <v>0.5</v>
      </c>
      <c r="AG184" s="1097">
        <f t="shared" ref="AG184:AG206" si="83">IF(F184&lt;25,0,IF(F184=25,25,IF(F184&lt;40,0,IF(F184=40,40,IF(F184&gt;=40,0)))))</f>
        <v>0</v>
      </c>
      <c r="AH184" s="1093">
        <f t="shared" ref="AH184:AH206" si="84">IF(AG184=25,(Y184*1.08*(J184)/2),IF(AG184=40,(Y184*1.08*(J184)),IF(AG184=0,0)))</f>
        <v>0</v>
      </c>
      <c r="AI184" s="1120" t="e">
        <f>DATE(YEAR(tab!$E$3),MONTH(G184),DAY(G184))&gt;tab!$E$3</f>
        <v>#VALUE!</v>
      </c>
      <c r="AJ184" s="1097" t="e">
        <f t="shared" ref="AJ184:AJ206" si="85">YEAR($E$145)-YEAR(G184)-AI184</f>
        <v>#VALUE!</v>
      </c>
      <c r="AK184" s="1041">
        <f t="shared" ref="AK184:AK206" si="86">IF((G184=""),30,AJ184)</f>
        <v>30</v>
      </c>
      <c r="AL184" s="1041">
        <f t="shared" ref="AL184:AL206" si="87">IF((AK184)&gt;50,50,(AK184))</f>
        <v>30</v>
      </c>
      <c r="AM184" s="1047">
        <f t="shared" ref="AM184:AM206" si="88">(AL184*(SUM(J184:J184)))</f>
        <v>0</v>
      </c>
      <c r="AS184" s="727"/>
    </row>
    <row r="185" spans="3:45" ht="12.75" customHeight="1" x14ac:dyDescent="0.3">
      <c r="C185" s="122"/>
      <c r="D185" s="388" t="str">
        <f>IF(op!D117="","",op!D117)</f>
        <v/>
      </c>
      <c r="E185" s="388" t="str">
        <f>IF(op!E117=0,"",op!E117)</f>
        <v/>
      </c>
      <c r="F185" s="684" t="str">
        <f>IF(op!F117="","",op!F117+1)</f>
        <v/>
      </c>
      <c r="G185" s="710" t="str">
        <f>IF(op!G117="","",op!G117)</f>
        <v/>
      </c>
      <c r="H185" s="684" t="str">
        <f>IF(op!H117=0,"",op!H117)</f>
        <v/>
      </c>
      <c r="I185" s="389" t="str">
        <f>IF(J185="","",(IF(op!I117+1&gt;LOOKUP(H185,schaal2019,regels2019),op!I117,op!I117+1)))</f>
        <v/>
      </c>
      <c r="J185" s="711" t="str">
        <f>IF(op!J117="","",op!J117)</f>
        <v/>
      </c>
      <c r="K185" s="472"/>
      <c r="L185" s="1049">
        <f>IF(op!L117="","",op!L117)</f>
        <v>0</v>
      </c>
      <c r="M185" s="1049">
        <f>IF(op!M117="","",op!M117)</f>
        <v>0</v>
      </c>
      <c r="N185" s="1051" t="str">
        <f t="shared" si="64"/>
        <v/>
      </c>
      <c r="O185" s="1051" t="str">
        <f t="shared" si="65"/>
        <v/>
      </c>
      <c r="P185" s="1125" t="str">
        <f t="shared" si="66"/>
        <v/>
      </c>
      <c r="Q185" s="472"/>
      <c r="R185" s="923" t="str">
        <f t="shared" si="81"/>
        <v/>
      </c>
      <c r="S185" s="923" t="str">
        <f t="shared" si="67"/>
        <v/>
      </c>
      <c r="T185" s="925" t="str">
        <f t="shared" si="68"/>
        <v/>
      </c>
      <c r="U185" s="545"/>
      <c r="V185" s="1103"/>
      <c r="W185" s="1103"/>
      <c r="X185" s="1060"/>
      <c r="Y185" s="1095" t="e">
        <f t="shared" si="82"/>
        <v>#VALUE!</v>
      </c>
      <c r="Z185" s="1094">
        <f>tab!$B$50</f>
        <v>0.6</v>
      </c>
      <c r="AA185" s="1126" t="e">
        <f t="shared" si="70"/>
        <v>#VALUE!</v>
      </c>
      <c r="AB185" s="1126" t="e">
        <f t="shared" si="71"/>
        <v>#VALUE!</v>
      </c>
      <c r="AC185" s="1126" t="e">
        <f t="shared" si="72"/>
        <v>#VALUE!</v>
      </c>
      <c r="AD185" s="1128" t="e">
        <f t="shared" si="73"/>
        <v>#VALUE!</v>
      </c>
      <c r="AE185" s="1128">
        <f t="shared" si="74"/>
        <v>0</v>
      </c>
      <c r="AF185" s="1096">
        <f>IF(H185&gt;8,tab!$B$51,tab!$B$54)</f>
        <v>0.5</v>
      </c>
      <c r="AG185" s="1097">
        <f t="shared" si="83"/>
        <v>0</v>
      </c>
      <c r="AH185" s="1093">
        <f t="shared" si="84"/>
        <v>0</v>
      </c>
      <c r="AI185" s="1120" t="e">
        <f>DATE(YEAR(tab!$E$3),MONTH(G185),DAY(G185))&gt;tab!$E$3</f>
        <v>#VALUE!</v>
      </c>
      <c r="AJ185" s="1097" t="e">
        <f t="shared" si="85"/>
        <v>#VALUE!</v>
      </c>
      <c r="AK185" s="1041">
        <f t="shared" si="86"/>
        <v>30</v>
      </c>
      <c r="AL185" s="1041">
        <f t="shared" si="87"/>
        <v>30</v>
      </c>
      <c r="AM185" s="1047">
        <f t="shared" si="88"/>
        <v>0</v>
      </c>
      <c r="AS185" s="727"/>
    </row>
    <row r="186" spans="3:45" ht="12.75" customHeight="1" x14ac:dyDescent="0.3">
      <c r="C186" s="122"/>
      <c r="D186" s="388" t="str">
        <f>IF(op!D118="","",op!D118)</f>
        <v/>
      </c>
      <c r="E186" s="388" t="str">
        <f>IF(op!E118=0,"",op!E118)</f>
        <v/>
      </c>
      <c r="F186" s="684" t="str">
        <f>IF(op!F118="","",op!F118+1)</f>
        <v/>
      </c>
      <c r="G186" s="710" t="str">
        <f>IF(op!G118="","",op!G118)</f>
        <v/>
      </c>
      <c r="H186" s="684" t="str">
        <f>IF(op!H118=0,"",op!H118)</f>
        <v/>
      </c>
      <c r="I186" s="389" t="str">
        <f>IF(J186="","",(IF(op!I118+1&gt;LOOKUP(H186,schaal2019,regels2019),op!I118,op!I118+1)))</f>
        <v/>
      </c>
      <c r="J186" s="711" t="str">
        <f>IF(op!J118="","",op!J118)</f>
        <v/>
      </c>
      <c r="K186" s="472"/>
      <c r="L186" s="1049">
        <f>IF(op!L118="","",op!L118)</f>
        <v>0</v>
      </c>
      <c r="M186" s="1049">
        <f>IF(op!M118="","",op!M118)</f>
        <v>0</v>
      </c>
      <c r="N186" s="1051" t="str">
        <f t="shared" si="64"/>
        <v/>
      </c>
      <c r="O186" s="1051" t="str">
        <f t="shared" si="65"/>
        <v/>
      </c>
      <c r="P186" s="1125" t="str">
        <f t="shared" si="66"/>
        <v/>
      </c>
      <c r="Q186" s="472"/>
      <c r="R186" s="923" t="str">
        <f t="shared" si="81"/>
        <v/>
      </c>
      <c r="S186" s="923" t="str">
        <f t="shared" si="67"/>
        <v/>
      </c>
      <c r="T186" s="925" t="str">
        <f t="shared" si="68"/>
        <v/>
      </c>
      <c r="U186" s="545"/>
      <c r="V186" s="1103"/>
      <c r="W186" s="1103"/>
      <c r="X186" s="1060"/>
      <c r="Y186" s="1095" t="e">
        <f t="shared" si="82"/>
        <v>#VALUE!</v>
      </c>
      <c r="Z186" s="1094">
        <f>tab!$B$50</f>
        <v>0.6</v>
      </c>
      <c r="AA186" s="1126" t="e">
        <f t="shared" si="70"/>
        <v>#VALUE!</v>
      </c>
      <c r="AB186" s="1126" t="e">
        <f t="shared" si="71"/>
        <v>#VALUE!</v>
      </c>
      <c r="AC186" s="1126" t="e">
        <f t="shared" si="72"/>
        <v>#VALUE!</v>
      </c>
      <c r="AD186" s="1128" t="e">
        <f t="shared" si="73"/>
        <v>#VALUE!</v>
      </c>
      <c r="AE186" s="1128">
        <f t="shared" si="74"/>
        <v>0</v>
      </c>
      <c r="AF186" s="1096">
        <f>IF(H186&gt;8,tab!$B$51,tab!$B$54)</f>
        <v>0.5</v>
      </c>
      <c r="AG186" s="1097">
        <f t="shared" si="83"/>
        <v>0</v>
      </c>
      <c r="AH186" s="1093">
        <f t="shared" si="84"/>
        <v>0</v>
      </c>
      <c r="AI186" s="1120" t="e">
        <f>DATE(YEAR(tab!$E$3),MONTH(G186),DAY(G186))&gt;tab!$E$3</f>
        <v>#VALUE!</v>
      </c>
      <c r="AJ186" s="1097" t="e">
        <f t="shared" si="85"/>
        <v>#VALUE!</v>
      </c>
      <c r="AK186" s="1041">
        <f t="shared" si="86"/>
        <v>30</v>
      </c>
      <c r="AL186" s="1041">
        <f t="shared" si="87"/>
        <v>30</v>
      </c>
      <c r="AM186" s="1047">
        <f t="shared" si="88"/>
        <v>0</v>
      </c>
      <c r="AS186" s="727"/>
    </row>
    <row r="187" spans="3:45" ht="12.75" customHeight="1" x14ac:dyDescent="0.3">
      <c r="C187" s="122"/>
      <c r="D187" s="388" t="str">
        <f>IF(op!D119="","",op!D119)</f>
        <v/>
      </c>
      <c r="E187" s="388" t="str">
        <f>IF(op!E119=0,"",op!E119)</f>
        <v/>
      </c>
      <c r="F187" s="684" t="str">
        <f>IF(op!F119="","",op!F119+1)</f>
        <v/>
      </c>
      <c r="G187" s="710" t="str">
        <f>IF(op!G119="","",op!G119)</f>
        <v/>
      </c>
      <c r="H187" s="684" t="str">
        <f>IF(op!H119=0,"",op!H119)</f>
        <v/>
      </c>
      <c r="I187" s="389" t="str">
        <f>IF(J187="","",(IF(op!I119+1&gt;LOOKUP(H187,schaal2019,regels2019),op!I119,op!I119+1)))</f>
        <v/>
      </c>
      <c r="J187" s="711" t="str">
        <f>IF(op!J119="","",op!J119)</f>
        <v/>
      </c>
      <c r="K187" s="472"/>
      <c r="L187" s="1049">
        <f>IF(op!L119="","",op!L119)</f>
        <v>0</v>
      </c>
      <c r="M187" s="1049">
        <f>IF(op!M119="","",op!M119)</f>
        <v>0</v>
      </c>
      <c r="N187" s="1051" t="str">
        <f t="shared" si="64"/>
        <v/>
      </c>
      <c r="O187" s="1051" t="str">
        <f t="shared" si="65"/>
        <v/>
      </c>
      <c r="P187" s="1125" t="str">
        <f t="shared" si="66"/>
        <v/>
      </c>
      <c r="Q187" s="472"/>
      <c r="R187" s="923" t="str">
        <f t="shared" si="81"/>
        <v/>
      </c>
      <c r="S187" s="923" t="str">
        <f t="shared" si="67"/>
        <v/>
      </c>
      <c r="T187" s="925" t="str">
        <f t="shared" si="68"/>
        <v/>
      </c>
      <c r="U187" s="545"/>
      <c r="V187" s="1103"/>
      <c r="W187" s="1103"/>
      <c r="X187" s="1060"/>
      <c r="Y187" s="1095" t="e">
        <f t="shared" si="82"/>
        <v>#VALUE!</v>
      </c>
      <c r="Z187" s="1094">
        <f>tab!$B$50</f>
        <v>0.6</v>
      </c>
      <c r="AA187" s="1126" t="e">
        <f t="shared" si="70"/>
        <v>#VALUE!</v>
      </c>
      <c r="AB187" s="1126" t="e">
        <f t="shared" si="71"/>
        <v>#VALUE!</v>
      </c>
      <c r="AC187" s="1126" t="e">
        <f t="shared" si="72"/>
        <v>#VALUE!</v>
      </c>
      <c r="AD187" s="1128" t="e">
        <f t="shared" si="73"/>
        <v>#VALUE!</v>
      </c>
      <c r="AE187" s="1128">
        <f t="shared" si="74"/>
        <v>0</v>
      </c>
      <c r="AF187" s="1096">
        <f>IF(H187&gt;8,tab!$B$51,tab!$B$54)</f>
        <v>0.5</v>
      </c>
      <c r="AG187" s="1097">
        <f t="shared" si="83"/>
        <v>0</v>
      </c>
      <c r="AH187" s="1093">
        <f t="shared" si="84"/>
        <v>0</v>
      </c>
      <c r="AI187" s="1120" t="e">
        <f>DATE(YEAR(tab!$E$3),MONTH(G187),DAY(G187))&gt;tab!$E$3</f>
        <v>#VALUE!</v>
      </c>
      <c r="AJ187" s="1097" t="e">
        <f t="shared" si="85"/>
        <v>#VALUE!</v>
      </c>
      <c r="AK187" s="1041">
        <f t="shared" si="86"/>
        <v>30</v>
      </c>
      <c r="AL187" s="1041">
        <f t="shared" si="87"/>
        <v>30</v>
      </c>
      <c r="AM187" s="1047">
        <f t="shared" si="88"/>
        <v>0</v>
      </c>
      <c r="AS187" s="727"/>
    </row>
    <row r="188" spans="3:45" ht="12.75" customHeight="1" x14ac:dyDescent="0.3">
      <c r="C188" s="122"/>
      <c r="D188" s="388" t="str">
        <f>IF(op!D120="","",op!D120)</f>
        <v/>
      </c>
      <c r="E188" s="388" t="str">
        <f>IF(op!E120=0,"",op!E120)</f>
        <v/>
      </c>
      <c r="F188" s="684" t="str">
        <f>IF(op!F120="","",op!F120+1)</f>
        <v/>
      </c>
      <c r="G188" s="710" t="str">
        <f>IF(op!G120="","",op!G120)</f>
        <v/>
      </c>
      <c r="H188" s="684" t="str">
        <f>IF(op!H120=0,"",op!H120)</f>
        <v/>
      </c>
      <c r="I188" s="389" t="str">
        <f>IF(J188="","",(IF(op!I120+1&gt;LOOKUP(H188,schaal2019,regels2019),op!I120,op!I120+1)))</f>
        <v/>
      </c>
      <c r="J188" s="711" t="str">
        <f>IF(op!J120="","",op!J120)</f>
        <v/>
      </c>
      <c r="K188" s="472"/>
      <c r="L188" s="1049">
        <f>IF(op!L120="","",op!L120)</f>
        <v>0</v>
      </c>
      <c r="M188" s="1049">
        <f>IF(op!M120="","",op!M120)</f>
        <v>0</v>
      </c>
      <c r="N188" s="1051" t="str">
        <f t="shared" si="64"/>
        <v/>
      </c>
      <c r="O188" s="1051" t="str">
        <f t="shared" si="65"/>
        <v/>
      </c>
      <c r="P188" s="1125" t="str">
        <f t="shared" si="66"/>
        <v/>
      </c>
      <c r="Q188" s="472"/>
      <c r="R188" s="923" t="str">
        <f t="shared" si="81"/>
        <v/>
      </c>
      <c r="S188" s="923" t="str">
        <f t="shared" si="67"/>
        <v/>
      </c>
      <c r="T188" s="925" t="str">
        <f t="shared" si="68"/>
        <v/>
      </c>
      <c r="U188" s="545"/>
      <c r="V188" s="1103"/>
      <c r="W188" s="1103"/>
      <c r="X188" s="1060"/>
      <c r="Y188" s="1095" t="e">
        <f t="shared" si="82"/>
        <v>#VALUE!</v>
      </c>
      <c r="Z188" s="1094">
        <f>tab!$B$50</f>
        <v>0.6</v>
      </c>
      <c r="AA188" s="1126" t="e">
        <f t="shared" si="70"/>
        <v>#VALUE!</v>
      </c>
      <c r="AB188" s="1126" t="e">
        <f t="shared" si="71"/>
        <v>#VALUE!</v>
      </c>
      <c r="AC188" s="1126" t="e">
        <f t="shared" si="72"/>
        <v>#VALUE!</v>
      </c>
      <c r="AD188" s="1128" t="e">
        <f t="shared" si="73"/>
        <v>#VALUE!</v>
      </c>
      <c r="AE188" s="1128">
        <f t="shared" si="74"/>
        <v>0</v>
      </c>
      <c r="AF188" s="1096">
        <f>IF(H188&gt;8,tab!$B$51,tab!$B$54)</f>
        <v>0.5</v>
      </c>
      <c r="AG188" s="1097">
        <f t="shared" si="83"/>
        <v>0</v>
      </c>
      <c r="AH188" s="1093">
        <f t="shared" si="84"/>
        <v>0</v>
      </c>
      <c r="AI188" s="1120" t="e">
        <f>DATE(YEAR(tab!$E$3),MONTH(G188),DAY(G188))&gt;tab!$E$3</f>
        <v>#VALUE!</v>
      </c>
      <c r="AJ188" s="1097" t="e">
        <f t="shared" si="85"/>
        <v>#VALUE!</v>
      </c>
      <c r="AK188" s="1041">
        <f t="shared" si="86"/>
        <v>30</v>
      </c>
      <c r="AL188" s="1041">
        <f t="shared" si="87"/>
        <v>30</v>
      </c>
      <c r="AM188" s="1047">
        <f t="shared" si="88"/>
        <v>0</v>
      </c>
      <c r="AS188" s="727"/>
    </row>
    <row r="189" spans="3:45" ht="12.75" customHeight="1" x14ac:dyDescent="0.3">
      <c r="C189" s="122"/>
      <c r="D189" s="388" t="str">
        <f>IF(op!D121="","",op!D121)</f>
        <v/>
      </c>
      <c r="E189" s="388" t="str">
        <f>IF(op!E121=0,"",op!E121)</f>
        <v/>
      </c>
      <c r="F189" s="684" t="str">
        <f>IF(op!F121="","",op!F121+1)</f>
        <v/>
      </c>
      <c r="G189" s="710" t="str">
        <f>IF(op!G121="","",op!G121)</f>
        <v/>
      </c>
      <c r="H189" s="684" t="str">
        <f>IF(op!H121=0,"",op!H121)</f>
        <v/>
      </c>
      <c r="I189" s="389" t="str">
        <f>IF(J189="","",(IF(op!I121+1&gt;LOOKUP(H189,schaal2019,regels2019),op!I121,op!I121+1)))</f>
        <v/>
      </c>
      <c r="J189" s="711" t="str">
        <f>IF(op!J121="","",op!J121)</f>
        <v/>
      </c>
      <c r="K189" s="472"/>
      <c r="L189" s="1049">
        <f>IF(op!L121="","",op!L121)</f>
        <v>0</v>
      </c>
      <c r="M189" s="1049">
        <f>IF(op!M121="","",op!M121)</f>
        <v>0</v>
      </c>
      <c r="N189" s="1051" t="str">
        <f t="shared" si="64"/>
        <v/>
      </c>
      <c r="O189" s="1051" t="str">
        <f t="shared" si="65"/>
        <v/>
      </c>
      <c r="P189" s="1125" t="str">
        <f t="shared" si="66"/>
        <v/>
      </c>
      <c r="Q189" s="472"/>
      <c r="R189" s="923" t="str">
        <f t="shared" si="81"/>
        <v/>
      </c>
      <c r="S189" s="923" t="str">
        <f t="shared" si="67"/>
        <v/>
      </c>
      <c r="T189" s="925" t="str">
        <f t="shared" si="68"/>
        <v/>
      </c>
      <c r="U189" s="545"/>
      <c r="V189" s="1103"/>
      <c r="W189" s="1103"/>
      <c r="X189" s="1060"/>
      <c r="Y189" s="1095" t="e">
        <f t="shared" si="82"/>
        <v>#VALUE!</v>
      </c>
      <c r="Z189" s="1094">
        <f>tab!$B$50</f>
        <v>0.6</v>
      </c>
      <c r="AA189" s="1126" t="e">
        <f t="shared" si="70"/>
        <v>#VALUE!</v>
      </c>
      <c r="AB189" s="1126" t="e">
        <f t="shared" si="71"/>
        <v>#VALUE!</v>
      </c>
      <c r="AC189" s="1126" t="e">
        <f t="shared" si="72"/>
        <v>#VALUE!</v>
      </c>
      <c r="AD189" s="1128" t="e">
        <f t="shared" si="73"/>
        <v>#VALUE!</v>
      </c>
      <c r="AE189" s="1128">
        <f t="shared" si="74"/>
        <v>0</v>
      </c>
      <c r="AF189" s="1096">
        <f>IF(H189&gt;8,tab!$B$51,tab!$B$54)</f>
        <v>0.5</v>
      </c>
      <c r="AG189" s="1097">
        <f t="shared" si="83"/>
        <v>0</v>
      </c>
      <c r="AH189" s="1093">
        <f t="shared" si="84"/>
        <v>0</v>
      </c>
      <c r="AI189" s="1120" t="e">
        <f>DATE(YEAR(tab!$E$3),MONTH(G189),DAY(G189))&gt;tab!$E$3</f>
        <v>#VALUE!</v>
      </c>
      <c r="AJ189" s="1097" t="e">
        <f t="shared" si="85"/>
        <v>#VALUE!</v>
      </c>
      <c r="AK189" s="1041">
        <f t="shared" si="86"/>
        <v>30</v>
      </c>
      <c r="AL189" s="1041">
        <f t="shared" si="87"/>
        <v>30</v>
      </c>
      <c r="AM189" s="1047">
        <f t="shared" si="88"/>
        <v>0</v>
      </c>
      <c r="AS189" s="727"/>
    </row>
    <row r="190" spans="3:45" ht="12.75" customHeight="1" x14ac:dyDescent="0.3">
      <c r="C190" s="122"/>
      <c r="D190" s="388" t="str">
        <f>IF(op!D122="","",op!D122)</f>
        <v/>
      </c>
      <c r="E190" s="388" t="str">
        <f>IF(op!E122=0,"",op!E122)</f>
        <v/>
      </c>
      <c r="F190" s="684" t="str">
        <f>IF(op!F122="","",op!F122+1)</f>
        <v/>
      </c>
      <c r="G190" s="710" t="str">
        <f>IF(op!G122="","",op!G122)</f>
        <v/>
      </c>
      <c r="H190" s="684" t="str">
        <f>IF(op!H122=0,"",op!H122)</f>
        <v/>
      </c>
      <c r="I190" s="389" t="str">
        <f>IF(J190="","",(IF(op!I122+1&gt;LOOKUP(H190,schaal2019,regels2019),op!I122,op!I122+1)))</f>
        <v/>
      </c>
      <c r="J190" s="711" t="str">
        <f>IF(op!J122="","",op!J122)</f>
        <v/>
      </c>
      <c r="K190" s="472"/>
      <c r="L190" s="1049">
        <f>IF(op!L122="","",op!L122)</f>
        <v>0</v>
      </c>
      <c r="M190" s="1049">
        <f>IF(op!M122="","",op!M122)</f>
        <v>0</v>
      </c>
      <c r="N190" s="1051" t="str">
        <f t="shared" si="64"/>
        <v/>
      </c>
      <c r="O190" s="1051" t="str">
        <f t="shared" si="65"/>
        <v/>
      </c>
      <c r="P190" s="1125" t="str">
        <f t="shared" si="66"/>
        <v/>
      </c>
      <c r="Q190" s="472"/>
      <c r="R190" s="923" t="str">
        <f t="shared" si="81"/>
        <v/>
      </c>
      <c r="S190" s="923" t="str">
        <f t="shared" si="67"/>
        <v/>
      </c>
      <c r="T190" s="925" t="str">
        <f t="shared" si="68"/>
        <v/>
      </c>
      <c r="U190" s="545"/>
      <c r="V190" s="1103"/>
      <c r="W190" s="1103"/>
      <c r="X190" s="1060"/>
      <c r="Y190" s="1095" t="e">
        <f t="shared" si="82"/>
        <v>#VALUE!</v>
      </c>
      <c r="Z190" s="1094">
        <f>tab!$B$50</f>
        <v>0.6</v>
      </c>
      <c r="AA190" s="1126" t="e">
        <f t="shared" si="70"/>
        <v>#VALUE!</v>
      </c>
      <c r="AB190" s="1126" t="e">
        <f t="shared" si="71"/>
        <v>#VALUE!</v>
      </c>
      <c r="AC190" s="1126" t="e">
        <f t="shared" si="72"/>
        <v>#VALUE!</v>
      </c>
      <c r="AD190" s="1128" t="e">
        <f t="shared" si="73"/>
        <v>#VALUE!</v>
      </c>
      <c r="AE190" s="1128">
        <f t="shared" si="74"/>
        <v>0</v>
      </c>
      <c r="AF190" s="1096">
        <f>IF(H190&gt;8,tab!$B$51,tab!$B$54)</f>
        <v>0.5</v>
      </c>
      <c r="AG190" s="1097">
        <f t="shared" si="83"/>
        <v>0</v>
      </c>
      <c r="AH190" s="1093">
        <f t="shared" si="84"/>
        <v>0</v>
      </c>
      <c r="AI190" s="1120" t="e">
        <f>DATE(YEAR(tab!$E$3),MONTH(G190),DAY(G190))&gt;tab!$E$3</f>
        <v>#VALUE!</v>
      </c>
      <c r="AJ190" s="1097" t="e">
        <f t="shared" si="85"/>
        <v>#VALUE!</v>
      </c>
      <c r="AK190" s="1041">
        <f t="shared" si="86"/>
        <v>30</v>
      </c>
      <c r="AL190" s="1041">
        <f t="shared" si="87"/>
        <v>30</v>
      </c>
      <c r="AM190" s="1047">
        <f t="shared" si="88"/>
        <v>0</v>
      </c>
      <c r="AS190" s="727"/>
    </row>
    <row r="191" spans="3:45" ht="12.75" customHeight="1" x14ac:dyDescent="0.3">
      <c r="C191" s="122"/>
      <c r="D191" s="388" t="str">
        <f>IF(op!D123="","",op!D123)</f>
        <v/>
      </c>
      <c r="E191" s="388" t="str">
        <f>IF(op!E123=0,"",op!E123)</f>
        <v/>
      </c>
      <c r="F191" s="684" t="str">
        <f>IF(op!F123="","",op!F123+1)</f>
        <v/>
      </c>
      <c r="G191" s="710" t="str">
        <f>IF(op!G123="","",op!G123)</f>
        <v/>
      </c>
      <c r="H191" s="684" t="str">
        <f>IF(op!H123=0,"",op!H123)</f>
        <v/>
      </c>
      <c r="I191" s="389" t="str">
        <f>IF(J191="","",(IF(op!I123+1&gt;LOOKUP(H191,schaal2019,regels2019),op!I123,op!I123+1)))</f>
        <v/>
      </c>
      <c r="J191" s="711" t="str">
        <f>IF(op!J123="","",op!J123)</f>
        <v/>
      </c>
      <c r="K191" s="472"/>
      <c r="L191" s="1049">
        <f>IF(op!L123="","",op!L123)</f>
        <v>0</v>
      </c>
      <c r="M191" s="1049">
        <f>IF(op!M123="","",op!M123)</f>
        <v>0</v>
      </c>
      <c r="N191" s="1051" t="str">
        <f t="shared" si="64"/>
        <v/>
      </c>
      <c r="O191" s="1051" t="str">
        <f t="shared" si="65"/>
        <v/>
      </c>
      <c r="P191" s="1125" t="str">
        <f t="shared" si="66"/>
        <v/>
      </c>
      <c r="Q191" s="472"/>
      <c r="R191" s="923" t="str">
        <f t="shared" si="81"/>
        <v/>
      </c>
      <c r="S191" s="923" t="str">
        <f t="shared" si="67"/>
        <v/>
      </c>
      <c r="T191" s="925" t="str">
        <f t="shared" si="68"/>
        <v/>
      </c>
      <c r="U191" s="545"/>
      <c r="V191" s="1103"/>
      <c r="W191" s="1103"/>
      <c r="X191" s="1060"/>
      <c r="Y191" s="1095" t="e">
        <f t="shared" si="82"/>
        <v>#VALUE!</v>
      </c>
      <c r="Z191" s="1094">
        <f>tab!$B$50</f>
        <v>0.6</v>
      </c>
      <c r="AA191" s="1126" t="e">
        <f t="shared" si="70"/>
        <v>#VALUE!</v>
      </c>
      <c r="AB191" s="1126" t="e">
        <f t="shared" si="71"/>
        <v>#VALUE!</v>
      </c>
      <c r="AC191" s="1126" t="e">
        <f t="shared" si="72"/>
        <v>#VALUE!</v>
      </c>
      <c r="AD191" s="1128" t="e">
        <f t="shared" si="73"/>
        <v>#VALUE!</v>
      </c>
      <c r="AE191" s="1128">
        <f t="shared" si="74"/>
        <v>0</v>
      </c>
      <c r="AF191" s="1096">
        <f>IF(H191&gt;8,tab!$B$51,tab!$B$54)</f>
        <v>0.5</v>
      </c>
      <c r="AG191" s="1097">
        <f t="shared" si="83"/>
        <v>0</v>
      </c>
      <c r="AH191" s="1093">
        <f t="shared" si="84"/>
        <v>0</v>
      </c>
      <c r="AI191" s="1120" t="e">
        <f>DATE(YEAR(tab!$E$3),MONTH(G191),DAY(G191))&gt;tab!$E$3</f>
        <v>#VALUE!</v>
      </c>
      <c r="AJ191" s="1097" t="e">
        <f t="shared" si="85"/>
        <v>#VALUE!</v>
      </c>
      <c r="AK191" s="1041">
        <f t="shared" si="86"/>
        <v>30</v>
      </c>
      <c r="AL191" s="1041">
        <f t="shared" si="87"/>
        <v>30</v>
      </c>
      <c r="AM191" s="1047">
        <f t="shared" si="88"/>
        <v>0</v>
      </c>
      <c r="AS191" s="727"/>
    </row>
    <row r="192" spans="3:45" ht="12.75" customHeight="1" x14ac:dyDescent="0.3">
      <c r="C192" s="122"/>
      <c r="D192" s="388" t="str">
        <f>IF(op!D124="","",op!D124)</f>
        <v/>
      </c>
      <c r="E192" s="388" t="str">
        <f>IF(op!E124=0,"",op!E124)</f>
        <v/>
      </c>
      <c r="F192" s="684" t="str">
        <f>IF(op!F124="","",op!F124+1)</f>
        <v/>
      </c>
      <c r="G192" s="710" t="str">
        <f>IF(op!G124="","",op!G124)</f>
        <v/>
      </c>
      <c r="H192" s="684" t="str">
        <f>IF(op!H124=0,"",op!H124)</f>
        <v/>
      </c>
      <c r="I192" s="389" t="str">
        <f>IF(J192="","",(IF(op!I124+1&gt;LOOKUP(H192,schaal2019,regels2019),op!I124,op!I124+1)))</f>
        <v/>
      </c>
      <c r="J192" s="711" t="str">
        <f>IF(op!J124="","",op!J124)</f>
        <v/>
      </c>
      <c r="K192" s="472"/>
      <c r="L192" s="1049">
        <f>IF(op!L124="","",op!L124)</f>
        <v>0</v>
      </c>
      <c r="M192" s="1049">
        <f>IF(op!M124="","",op!M124)</f>
        <v>0</v>
      </c>
      <c r="N192" s="1051" t="str">
        <f t="shared" si="64"/>
        <v/>
      </c>
      <c r="O192" s="1051" t="str">
        <f t="shared" si="65"/>
        <v/>
      </c>
      <c r="P192" s="1125" t="str">
        <f t="shared" si="66"/>
        <v/>
      </c>
      <c r="Q192" s="472"/>
      <c r="R192" s="923" t="str">
        <f t="shared" si="81"/>
        <v/>
      </c>
      <c r="S192" s="923" t="str">
        <f t="shared" si="67"/>
        <v/>
      </c>
      <c r="T192" s="925" t="str">
        <f t="shared" si="68"/>
        <v/>
      </c>
      <c r="U192" s="545"/>
      <c r="V192" s="1103"/>
      <c r="W192" s="1103"/>
      <c r="X192" s="1060"/>
      <c r="Y192" s="1095" t="e">
        <f t="shared" si="82"/>
        <v>#VALUE!</v>
      </c>
      <c r="Z192" s="1094">
        <f>tab!$B$50</f>
        <v>0.6</v>
      </c>
      <c r="AA192" s="1126" t="e">
        <f t="shared" si="70"/>
        <v>#VALUE!</v>
      </c>
      <c r="AB192" s="1126" t="e">
        <f t="shared" si="71"/>
        <v>#VALUE!</v>
      </c>
      <c r="AC192" s="1126" t="e">
        <f t="shared" si="72"/>
        <v>#VALUE!</v>
      </c>
      <c r="AD192" s="1128" t="e">
        <f t="shared" si="73"/>
        <v>#VALUE!</v>
      </c>
      <c r="AE192" s="1128">
        <f t="shared" si="74"/>
        <v>0</v>
      </c>
      <c r="AF192" s="1096">
        <f>IF(H192&gt;8,tab!$B$51,tab!$B$54)</f>
        <v>0.5</v>
      </c>
      <c r="AG192" s="1097">
        <f t="shared" si="83"/>
        <v>0</v>
      </c>
      <c r="AH192" s="1093">
        <f t="shared" si="84"/>
        <v>0</v>
      </c>
      <c r="AI192" s="1120" t="e">
        <f>DATE(YEAR(tab!$E$3),MONTH(G192),DAY(G192))&gt;tab!$E$3</f>
        <v>#VALUE!</v>
      </c>
      <c r="AJ192" s="1097" t="e">
        <f t="shared" si="85"/>
        <v>#VALUE!</v>
      </c>
      <c r="AK192" s="1041">
        <f t="shared" si="86"/>
        <v>30</v>
      </c>
      <c r="AL192" s="1041">
        <f t="shared" si="87"/>
        <v>30</v>
      </c>
      <c r="AM192" s="1047">
        <f t="shared" si="88"/>
        <v>0</v>
      </c>
      <c r="AS192" s="727"/>
    </row>
    <row r="193" spans="3:45" ht="12.75" customHeight="1" x14ac:dyDescent="0.3">
      <c r="C193" s="122"/>
      <c r="D193" s="388" t="str">
        <f>IF(op!D125="","",op!D125)</f>
        <v/>
      </c>
      <c r="E193" s="388" t="str">
        <f>IF(op!E125=0,"",op!E125)</f>
        <v/>
      </c>
      <c r="F193" s="684" t="str">
        <f>IF(op!F125="","",op!F125+1)</f>
        <v/>
      </c>
      <c r="G193" s="710" t="str">
        <f>IF(op!G125="","",op!G125)</f>
        <v/>
      </c>
      <c r="H193" s="684" t="str">
        <f>IF(op!H125=0,"",op!H125)</f>
        <v/>
      </c>
      <c r="I193" s="389" t="str">
        <f>IF(J193="","",(IF(op!I125+1&gt;LOOKUP(H193,schaal2019,regels2019),op!I125,op!I125+1)))</f>
        <v/>
      </c>
      <c r="J193" s="711" t="str">
        <f>IF(op!J125="","",op!J125)</f>
        <v/>
      </c>
      <c r="K193" s="472"/>
      <c r="L193" s="1049">
        <f>IF(op!L125="","",op!L125)</f>
        <v>0</v>
      </c>
      <c r="M193" s="1049">
        <f>IF(op!M125="","",op!M125)</f>
        <v>0</v>
      </c>
      <c r="N193" s="1051" t="str">
        <f t="shared" si="64"/>
        <v/>
      </c>
      <c r="O193" s="1051" t="str">
        <f t="shared" si="65"/>
        <v/>
      </c>
      <c r="P193" s="1125" t="str">
        <f t="shared" si="66"/>
        <v/>
      </c>
      <c r="Q193" s="472"/>
      <c r="R193" s="923" t="str">
        <f t="shared" si="81"/>
        <v/>
      </c>
      <c r="S193" s="923" t="str">
        <f t="shared" si="67"/>
        <v/>
      </c>
      <c r="T193" s="925" t="str">
        <f t="shared" si="68"/>
        <v/>
      </c>
      <c r="U193" s="545"/>
      <c r="V193" s="1103"/>
      <c r="W193" s="1103"/>
      <c r="X193" s="1060"/>
      <c r="Y193" s="1095" t="e">
        <f t="shared" si="82"/>
        <v>#VALUE!</v>
      </c>
      <c r="Z193" s="1094">
        <f>tab!$B$50</f>
        <v>0.6</v>
      </c>
      <c r="AA193" s="1126" t="e">
        <f t="shared" si="70"/>
        <v>#VALUE!</v>
      </c>
      <c r="AB193" s="1126" t="e">
        <f t="shared" si="71"/>
        <v>#VALUE!</v>
      </c>
      <c r="AC193" s="1126" t="e">
        <f t="shared" si="72"/>
        <v>#VALUE!</v>
      </c>
      <c r="AD193" s="1128" t="e">
        <f t="shared" si="73"/>
        <v>#VALUE!</v>
      </c>
      <c r="AE193" s="1128">
        <f t="shared" si="74"/>
        <v>0</v>
      </c>
      <c r="AF193" s="1096">
        <f>IF(H193&gt;8,tab!$B$51,tab!$B$54)</f>
        <v>0.5</v>
      </c>
      <c r="AG193" s="1097">
        <f t="shared" si="83"/>
        <v>0</v>
      </c>
      <c r="AH193" s="1093">
        <f t="shared" si="84"/>
        <v>0</v>
      </c>
      <c r="AI193" s="1120" t="e">
        <f>DATE(YEAR(tab!$E$3),MONTH(G193),DAY(G193))&gt;tab!$E$3</f>
        <v>#VALUE!</v>
      </c>
      <c r="AJ193" s="1097" t="e">
        <f t="shared" si="85"/>
        <v>#VALUE!</v>
      </c>
      <c r="AK193" s="1041">
        <f t="shared" si="86"/>
        <v>30</v>
      </c>
      <c r="AL193" s="1041">
        <f t="shared" si="87"/>
        <v>30</v>
      </c>
      <c r="AM193" s="1047">
        <f t="shared" si="88"/>
        <v>0</v>
      </c>
      <c r="AS193" s="727"/>
    </row>
    <row r="194" spans="3:45" ht="12.75" customHeight="1" x14ac:dyDescent="0.3">
      <c r="C194" s="122"/>
      <c r="D194" s="388" t="str">
        <f>IF(op!D126="","",op!D126)</f>
        <v/>
      </c>
      <c r="E194" s="388" t="str">
        <f>IF(op!E126=0,"",op!E126)</f>
        <v/>
      </c>
      <c r="F194" s="684" t="str">
        <f>IF(op!F126="","",op!F126+1)</f>
        <v/>
      </c>
      <c r="G194" s="710" t="str">
        <f>IF(op!G126="","",op!G126)</f>
        <v/>
      </c>
      <c r="H194" s="684" t="str">
        <f>IF(op!H126=0,"",op!H126)</f>
        <v/>
      </c>
      <c r="I194" s="389" t="str">
        <f>IF(J194="","",(IF(op!I126+1&gt;LOOKUP(H194,schaal2019,regels2019),op!I126,op!I126+1)))</f>
        <v/>
      </c>
      <c r="J194" s="711" t="str">
        <f>IF(op!J126="","",op!J126)</f>
        <v/>
      </c>
      <c r="K194" s="472"/>
      <c r="L194" s="1049">
        <f>IF(op!L126="","",op!L126)</f>
        <v>0</v>
      </c>
      <c r="M194" s="1049">
        <f>IF(op!M126="","",op!M126)</f>
        <v>0</v>
      </c>
      <c r="N194" s="1051" t="str">
        <f t="shared" si="64"/>
        <v/>
      </c>
      <c r="O194" s="1051" t="str">
        <f t="shared" si="65"/>
        <v/>
      </c>
      <c r="P194" s="1125" t="str">
        <f t="shared" si="66"/>
        <v/>
      </c>
      <c r="Q194" s="472"/>
      <c r="R194" s="923" t="str">
        <f t="shared" si="81"/>
        <v/>
      </c>
      <c r="S194" s="923" t="str">
        <f t="shared" si="67"/>
        <v/>
      </c>
      <c r="T194" s="925" t="str">
        <f t="shared" si="68"/>
        <v/>
      </c>
      <c r="U194" s="545"/>
      <c r="V194" s="1103"/>
      <c r="W194" s="1103"/>
      <c r="X194" s="1060"/>
      <c r="Y194" s="1095" t="e">
        <f t="shared" si="82"/>
        <v>#VALUE!</v>
      </c>
      <c r="Z194" s="1094">
        <f>tab!$B$50</f>
        <v>0.6</v>
      </c>
      <c r="AA194" s="1126" t="e">
        <f t="shared" si="70"/>
        <v>#VALUE!</v>
      </c>
      <c r="AB194" s="1126" t="e">
        <f t="shared" si="71"/>
        <v>#VALUE!</v>
      </c>
      <c r="AC194" s="1126" t="e">
        <f t="shared" si="72"/>
        <v>#VALUE!</v>
      </c>
      <c r="AD194" s="1128" t="e">
        <f t="shared" si="73"/>
        <v>#VALUE!</v>
      </c>
      <c r="AE194" s="1128">
        <f t="shared" si="74"/>
        <v>0</v>
      </c>
      <c r="AF194" s="1096">
        <f>IF(H194&gt;8,tab!$B$51,tab!$B$54)</f>
        <v>0.5</v>
      </c>
      <c r="AG194" s="1097">
        <f t="shared" si="83"/>
        <v>0</v>
      </c>
      <c r="AH194" s="1093">
        <f t="shared" si="84"/>
        <v>0</v>
      </c>
      <c r="AI194" s="1120" t="e">
        <f>DATE(YEAR(tab!$E$3),MONTH(G194),DAY(G194))&gt;tab!$E$3</f>
        <v>#VALUE!</v>
      </c>
      <c r="AJ194" s="1097" t="e">
        <f t="shared" si="85"/>
        <v>#VALUE!</v>
      </c>
      <c r="AK194" s="1041">
        <f t="shared" si="86"/>
        <v>30</v>
      </c>
      <c r="AL194" s="1041">
        <f t="shared" si="87"/>
        <v>30</v>
      </c>
      <c r="AM194" s="1047">
        <f t="shared" si="88"/>
        <v>0</v>
      </c>
      <c r="AS194" s="727"/>
    </row>
    <row r="195" spans="3:45" ht="12.75" customHeight="1" x14ac:dyDescent="0.3">
      <c r="C195" s="122"/>
      <c r="D195" s="388" t="str">
        <f>IF(op!D127="","",op!D127)</f>
        <v/>
      </c>
      <c r="E195" s="388" t="str">
        <f>IF(op!E127=0,"",op!E127)</f>
        <v/>
      </c>
      <c r="F195" s="684" t="str">
        <f>IF(op!F127="","",op!F127+1)</f>
        <v/>
      </c>
      <c r="G195" s="710" t="str">
        <f>IF(op!G127="","",op!G127)</f>
        <v/>
      </c>
      <c r="H195" s="684" t="str">
        <f>IF(op!H127=0,"",op!H127)</f>
        <v/>
      </c>
      <c r="I195" s="389" t="str">
        <f>IF(J195="","",(IF(op!I127+1&gt;LOOKUP(H195,schaal2019,regels2019),op!I127,op!I127+1)))</f>
        <v/>
      </c>
      <c r="J195" s="711" t="str">
        <f>IF(op!J127="","",op!J127)</f>
        <v/>
      </c>
      <c r="K195" s="472"/>
      <c r="L195" s="1049">
        <f>IF(op!L127="","",op!L127)</f>
        <v>0</v>
      </c>
      <c r="M195" s="1049">
        <f>IF(op!M127="","",op!M127)</f>
        <v>0</v>
      </c>
      <c r="N195" s="1051" t="str">
        <f t="shared" si="64"/>
        <v/>
      </c>
      <c r="O195" s="1051" t="str">
        <f t="shared" si="65"/>
        <v/>
      </c>
      <c r="P195" s="1125" t="str">
        <f t="shared" si="66"/>
        <v/>
      </c>
      <c r="Q195" s="472"/>
      <c r="R195" s="923" t="str">
        <f t="shared" si="81"/>
        <v/>
      </c>
      <c r="S195" s="923" t="str">
        <f t="shared" si="67"/>
        <v/>
      </c>
      <c r="T195" s="925" t="str">
        <f t="shared" si="68"/>
        <v/>
      </c>
      <c r="U195" s="545"/>
      <c r="V195" s="1103"/>
      <c r="W195" s="1103"/>
      <c r="X195" s="1060"/>
      <c r="Y195" s="1095" t="e">
        <f t="shared" si="82"/>
        <v>#VALUE!</v>
      </c>
      <c r="Z195" s="1094">
        <f>tab!$B$50</f>
        <v>0.6</v>
      </c>
      <c r="AA195" s="1126" t="e">
        <f t="shared" si="70"/>
        <v>#VALUE!</v>
      </c>
      <c r="AB195" s="1126" t="e">
        <f t="shared" si="71"/>
        <v>#VALUE!</v>
      </c>
      <c r="AC195" s="1126" t="e">
        <f t="shared" si="72"/>
        <v>#VALUE!</v>
      </c>
      <c r="AD195" s="1128" t="e">
        <f t="shared" si="73"/>
        <v>#VALUE!</v>
      </c>
      <c r="AE195" s="1128">
        <f t="shared" si="74"/>
        <v>0</v>
      </c>
      <c r="AF195" s="1096">
        <f>IF(H195&gt;8,tab!$B$51,tab!$B$54)</f>
        <v>0.5</v>
      </c>
      <c r="AG195" s="1097">
        <f t="shared" si="83"/>
        <v>0</v>
      </c>
      <c r="AH195" s="1093">
        <f t="shared" si="84"/>
        <v>0</v>
      </c>
      <c r="AI195" s="1120" t="e">
        <f>DATE(YEAR(tab!$E$3),MONTH(G195),DAY(G195))&gt;tab!$E$3</f>
        <v>#VALUE!</v>
      </c>
      <c r="AJ195" s="1097" t="e">
        <f t="shared" si="85"/>
        <v>#VALUE!</v>
      </c>
      <c r="AK195" s="1041">
        <f t="shared" si="86"/>
        <v>30</v>
      </c>
      <c r="AL195" s="1041">
        <f t="shared" si="87"/>
        <v>30</v>
      </c>
      <c r="AM195" s="1047">
        <f t="shared" si="88"/>
        <v>0</v>
      </c>
      <c r="AS195" s="727"/>
    </row>
    <row r="196" spans="3:45" ht="12.75" customHeight="1" x14ac:dyDescent="0.3">
      <c r="C196" s="122"/>
      <c r="D196" s="388" t="str">
        <f>IF(op!D128="","",op!D128)</f>
        <v/>
      </c>
      <c r="E196" s="388" t="str">
        <f>IF(op!E128=0,"",op!E128)</f>
        <v/>
      </c>
      <c r="F196" s="684" t="str">
        <f>IF(op!F128="","",op!F128+1)</f>
        <v/>
      </c>
      <c r="G196" s="710" t="str">
        <f>IF(op!G128="","",op!G128)</f>
        <v/>
      </c>
      <c r="H196" s="684" t="str">
        <f>IF(op!H128=0,"",op!H128)</f>
        <v/>
      </c>
      <c r="I196" s="389" t="str">
        <f>IF(J196="","",(IF(op!I128+1&gt;LOOKUP(H196,schaal2019,regels2019),op!I128,op!I128+1)))</f>
        <v/>
      </c>
      <c r="J196" s="711" t="str">
        <f>IF(op!J128="","",op!J128)</f>
        <v/>
      </c>
      <c r="K196" s="472"/>
      <c r="L196" s="1049">
        <f>IF(op!L128="","",op!L128)</f>
        <v>0</v>
      </c>
      <c r="M196" s="1049">
        <f>IF(op!M128="","",op!M128)</f>
        <v>0</v>
      </c>
      <c r="N196" s="1051" t="str">
        <f t="shared" si="64"/>
        <v/>
      </c>
      <c r="O196" s="1051" t="str">
        <f t="shared" si="65"/>
        <v/>
      </c>
      <c r="P196" s="1125" t="str">
        <f t="shared" si="66"/>
        <v/>
      </c>
      <c r="Q196" s="472"/>
      <c r="R196" s="923" t="str">
        <f t="shared" si="81"/>
        <v/>
      </c>
      <c r="S196" s="923" t="str">
        <f t="shared" si="67"/>
        <v/>
      </c>
      <c r="T196" s="925" t="str">
        <f t="shared" si="68"/>
        <v/>
      </c>
      <c r="U196" s="545"/>
      <c r="V196" s="1103"/>
      <c r="W196" s="1103"/>
      <c r="X196" s="1060"/>
      <c r="Y196" s="1095" t="e">
        <f t="shared" si="82"/>
        <v>#VALUE!</v>
      </c>
      <c r="Z196" s="1094">
        <f>tab!$B$50</f>
        <v>0.6</v>
      </c>
      <c r="AA196" s="1126" t="e">
        <f t="shared" si="70"/>
        <v>#VALUE!</v>
      </c>
      <c r="AB196" s="1126" t="e">
        <f t="shared" si="71"/>
        <v>#VALUE!</v>
      </c>
      <c r="AC196" s="1126" t="e">
        <f t="shared" si="72"/>
        <v>#VALUE!</v>
      </c>
      <c r="AD196" s="1128" t="e">
        <f t="shared" si="73"/>
        <v>#VALUE!</v>
      </c>
      <c r="AE196" s="1128">
        <f t="shared" si="74"/>
        <v>0</v>
      </c>
      <c r="AF196" s="1096">
        <f>IF(H196&gt;8,tab!$B$51,tab!$B$54)</f>
        <v>0.5</v>
      </c>
      <c r="AG196" s="1097">
        <f t="shared" si="83"/>
        <v>0</v>
      </c>
      <c r="AH196" s="1093">
        <f t="shared" si="84"/>
        <v>0</v>
      </c>
      <c r="AI196" s="1120" t="e">
        <f>DATE(YEAR(tab!$E$3),MONTH(G196),DAY(G196))&gt;tab!$E$3</f>
        <v>#VALUE!</v>
      </c>
      <c r="AJ196" s="1097" t="e">
        <f t="shared" si="85"/>
        <v>#VALUE!</v>
      </c>
      <c r="AK196" s="1041">
        <f t="shared" si="86"/>
        <v>30</v>
      </c>
      <c r="AL196" s="1041">
        <f t="shared" si="87"/>
        <v>30</v>
      </c>
      <c r="AM196" s="1047">
        <f t="shared" si="88"/>
        <v>0</v>
      </c>
      <c r="AS196" s="727"/>
    </row>
    <row r="197" spans="3:45" ht="12.75" customHeight="1" x14ac:dyDescent="0.3">
      <c r="C197" s="122"/>
      <c r="D197" s="388" t="str">
        <f>IF(op!D129="","",op!D129)</f>
        <v/>
      </c>
      <c r="E197" s="388" t="str">
        <f>IF(op!E129=0,"",op!E129)</f>
        <v/>
      </c>
      <c r="F197" s="684" t="str">
        <f>IF(op!F129="","",op!F129+1)</f>
        <v/>
      </c>
      <c r="G197" s="710" t="str">
        <f>IF(op!G129="","",op!G129)</f>
        <v/>
      </c>
      <c r="H197" s="684" t="str">
        <f>IF(op!H129=0,"",op!H129)</f>
        <v/>
      </c>
      <c r="I197" s="389" t="str">
        <f>IF(J197="","",(IF(op!I129+1&gt;LOOKUP(H197,schaal2019,regels2019),op!I129,op!I129+1)))</f>
        <v/>
      </c>
      <c r="J197" s="711" t="str">
        <f>IF(op!J129="","",op!J129)</f>
        <v/>
      </c>
      <c r="K197" s="472"/>
      <c r="L197" s="1049">
        <f>IF(op!L129="","",op!L129)</f>
        <v>0</v>
      </c>
      <c r="M197" s="1049">
        <f>IF(op!M129="","",op!M129)</f>
        <v>0</v>
      </c>
      <c r="N197" s="1051" t="str">
        <f t="shared" si="64"/>
        <v/>
      </c>
      <c r="O197" s="1051" t="str">
        <f t="shared" si="65"/>
        <v/>
      </c>
      <c r="P197" s="1125" t="str">
        <f t="shared" si="66"/>
        <v/>
      </c>
      <c r="Q197" s="472"/>
      <c r="R197" s="923" t="str">
        <f t="shared" si="81"/>
        <v/>
      </c>
      <c r="S197" s="923" t="str">
        <f t="shared" si="67"/>
        <v/>
      </c>
      <c r="T197" s="925" t="str">
        <f t="shared" si="68"/>
        <v/>
      </c>
      <c r="U197" s="545"/>
      <c r="V197" s="1103"/>
      <c r="W197" s="1103"/>
      <c r="X197" s="1060"/>
      <c r="Y197" s="1095" t="e">
        <f t="shared" si="82"/>
        <v>#VALUE!</v>
      </c>
      <c r="Z197" s="1094">
        <f>tab!$B$50</f>
        <v>0.6</v>
      </c>
      <c r="AA197" s="1126" t="e">
        <f t="shared" si="70"/>
        <v>#VALUE!</v>
      </c>
      <c r="AB197" s="1126" t="e">
        <f t="shared" si="71"/>
        <v>#VALUE!</v>
      </c>
      <c r="AC197" s="1126" t="e">
        <f t="shared" si="72"/>
        <v>#VALUE!</v>
      </c>
      <c r="AD197" s="1128" t="e">
        <f t="shared" si="73"/>
        <v>#VALUE!</v>
      </c>
      <c r="AE197" s="1128">
        <f t="shared" si="74"/>
        <v>0</v>
      </c>
      <c r="AF197" s="1096">
        <f>IF(H197&gt;8,tab!$B$51,tab!$B$54)</f>
        <v>0.5</v>
      </c>
      <c r="AG197" s="1097">
        <f t="shared" si="83"/>
        <v>0</v>
      </c>
      <c r="AH197" s="1093">
        <f t="shared" si="84"/>
        <v>0</v>
      </c>
      <c r="AI197" s="1120" t="e">
        <f>DATE(YEAR(tab!$E$3),MONTH(G197),DAY(G197))&gt;tab!$E$3</f>
        <v>#VALUE!</v>
      </c>
      <c r="AJ197" s="1097" t="e">
        <f t="shared" si="85"/>
        <v>#VALUE!</v>
      </c>
      <c r="AK197" s="1041">
        <f t="shared" si="86"/>
        <v>30</v>
      </c>
      <c r="AL197" s="1041">
        <f t="shared" si="87"/>
        <v>30</v>
      </c>
      <c r="AM197" s="1047">
        <f t="shared" si="88"/>
        <v>0</v>
      </c>
      <c r="AS197" s="727"/>
    </row>
    <row r="198" spans="3:45" ht="12.75" customHeight="1" x14ac:dyDescent="0.3">
      <c r="C198" s="122"/>
      <c r="D198" s="388" t="str">
        <f>IF(op!D130="","",op!D130)</f>
        <v/>
      </c>
      <c r="E198" s="388" t="str">
        <f>IF(op!E130=0,"",op!E130)</f>
        <v/>
      </c>
      <c r="F198" s="684" t="str">
        <f>IF(op!F130="","",op!F130+1)</f>
        <v/>
      </c>
      <c r="G198" s="710" t="str">
        <f>IF(op!G130="","",op!G130)</f>
        <v/>
      </c>
      <c r="H198" s="684" t="str">
        <f>IF(op!H130=0,"",op!H130)</f>
        <v/>
      </c>
      <c r="I198" s="389" t="str">
        <f>IF(J198="","",(IF(op!I130+1&gt;LOOKUP(H198,schaal2019,regels2019),op!I130,op!I130+1)))</f>
        <v/>
      </c>
      <c r="J198" s="711" t="str">
        <f>IF(op!J130="","",op!J130)</f>
        <v/>
      </c>
      <c r="K198" s="472"/>
      <c r="L198" s="1049">
        <f>IF(op!L130="","",op!L130)</f>
        <v>0</v>
      </c>
      <c r="M198" s="1049">
        <f>IF(op!M130="","",op!M130)</f>
        <v>0</v>
      </c>
      <c r="N198" s="1051" t="str">
        <f t="shared" si="64"/>
        <v/>
      </c>
      <c r="O198" s="1051" t="str">
        <f t="shared" si="65"/>
        <v/>
      </c>
      <c r="P198" s="1125" t="str">
        <f t="shared" si="66"/>
        <v/>
      </c>
      <c r="Q198" s="472"/>
      <c r="R198" s="923" t="str">
        <f t="shared" si="81"/>
        <v/>
      </c>
      <c r="S198" s="923" t="str">
        <f t="shared" si="67"/>
        <v/>
      </c>
      <c r="T198" s="925" t="str">
        <f t="shared" si="68"/>
        <v/>
      </c>
      <c r="U198" s="545"/>
      <c r="V198" s="1103"/>
      <c r="W198" s="1103"/>
      <c r="X198" s="1060"/>
      <c r="Y198" s="1095" t="e">
        <f t="shared" si="82"/>
        <v>#VALUE!</v>
      </c>
      <c r="Z198" s="1094">
        <f>tab!$B$50</f>
        <v>0.6</v>
      </c>
      <c r="AA198" s="1126" t="e">
        <f t="shared" si="70"/>
        <v>#VALUE!</v>
      </c>
      <c r="AB198" s="1126" t="e">
        <f t="shared" si="71"/>
        <v>#VALUE!</v>
      </c>
      <c r="AC198" s="1126" t="e">
        <f t="shared" si="72"/>
        <v>#VALUE!</v>
      </c>
      <c r="AD198" s="1128" t="e">
        <f t="shared" si="73"/>
        <v>#VALUE!</v>
      </c>
      <c r="AE198" s="1128">
        <f t="shared" si="74"/>
        <v>0</v>
      </c>
      <c r="AF198" s="1096">
        <f>IF(H198&gt;8,tab!$B$51,tab!$B$54)</f>
        <v>0.5</v>
      </c>
      <c r="AG198" s="1097">
        <f t="shared" si="83"/>
        <v>0</v>
      </c>
      <c r="AH198" s="1093">
        <f t="shared" si="84"/>
        <v>0</v>
      </c>
      <c r="AI198" s="1120" t="e">
        <f>DATE(YEAR(tab!$E$3),MONTH(G198),DAY(G198))&gt;tab!$E$3</f>
        <v>#VALUE!</v>
      </c>
      <c r="AJ198" s="1097" t="e">
        <f t="shared" si="85"/>
        <v>#VALUE!</v>
      </c>
      <c r="AK198" s="1041">
        <f t="shared" si="86"/>
        <v>30</v>
      </c>
      <c r="AL198" s="1041">
        <f t="shared" si="87"/>
        <v>30</v>
      </c>
      <c r="AM198" s="1047">
        <f t="shared" si="88"/>
        <v>0</v>
      </c>
      <c r="AS198" s="727"/>
    </row>
    <row r="199" spans="3:45" ht="12.75" customHeight="1" x14ac:dyDescent="0.3">
      <c r="C199" s="122"/>
      <c r="D199" s="388" t="str">
        <f>IF(op!D131="","",op!D131)</f>
        <v/>
      </c>
      <c r="E199" s="388" t="str">
        <f>IF(op!E131=0,"",op!E131)</f>
        <v/>
      </c>
      <c r="F199" s="684" t="str">
        <f>IF(op!F131="","",op!F131+1)</f>
        <v/>
      </c>
      <c r="G199" s="710" t="str">
        <f>IF(op!G131="","",op!G131)</f>
        <v/>
      </c>
      <c r="H199" s="684" t="str">
        <f>IF(op!H131=0,"",op!H131)</f>
        <v/>
      </c>
      <c r="I199" s="389" t="str">
        <f>IF(J199="","",(IF(op!I131+1&gt;LOOKUP(H199,schaal2019,regels2019),op!I131,op!I131+1)))</f>
        <v/>
      </c>
      <c r="J199" s="711" t="str">
        <f>IF(op!J131="","",op!J131)</f>
        <v/>
      </c>
      <c r="K199" s="472"/>
      <c r="L199" s="1049">
        <f>IF(op!L131="","",op!L131)</f>
        <v>0</v>
      </c>
      <c r="M199" s="1049">
        <f>IF(op!M131="","",op!M131)</f>
        <v>0</v>
      </c>
      <c r="N199" s="1051" t="str">
        <f t="shared" si="64"/>
        <v/>
      </c>
      <c r="O199" s="1051" t="str">
        <f t="shared" si="65"/>
        <v/>
      </c>
      <c r="P199" s="1125" t="str">
        <f t="shared" si="66"/>
        <v/>
      </c>
      <c r="Q199" s="472"/>
      <c r="R199" s="923" t="str">
        <f t="shared" si="81"/>
        <v/>
      </c>
      <c r="S199" s="923" t="str">
        <f t="shared" si="67"/>
        <v/>
      </c>
      <c r="T199" s="925" t="str">
        <f t="shared" si="68"/>
        <v/>
      </c>
      <c r="U199" s="545"/>
      <c r="V199" s="1103"/>
      <c r="W199" s="1103"/>
      <c r="X199" s="1060"/>
      <c r="Y199" s="1095" t="e">
        <f t="shared" si="82"/>
        <v>#VALUE!</v>
      </c>
      <c r="Z199" s="1094">
        <f>tab!$B$50</f>
        <v>0.6</v>
      </c>
      <c r="AA199" s="1126" t="e">
        <f t="shared" si="70"/>
        <v>#VALUE!</v>
      </c>
      <c r="AB199" s="1126" t="e">
        <f t="shared" si="71"/>
        <v>#VALUE!</v>
      </c>
      <c r="AC199" s="1126" t="e">
        <f t="shared" si="72"/>
        <v>#VALUE!</v>
      </c>
      <c r="AD199" s="1128" t="e">
        <f t="shared" si="73"/>
        <v>#VALUE!</v>
      </c>
      <c r="AE199" s="1128">
        <f t="shared" si="74"/>
        <v>0</v>
      </c>
      <c r="AF199" s="1096">
        <f>IF(H199&gt;8,tab!$B$51,tab!$B$54)</f>
        <v>0.5</v>
      </c>
      <c r="AG199" s="1097">
        <f t="shared" si="83"/>
        <v>0</v>
      </c>
      <c r="AH199" s="1093">
        <f t="shared" si="84"/>
        <v>0</v>
      </c>
      <c r="AI199" s="1120" t="e">
        <f>DATE(YEAR(tab!$E$3),MONTH(G199),DAY(G199))&gt;tab!$E$3</f>
        <v>#VALUE!</v>
      </c>
      <c r="AJ199" s="1097" t="e">
        <f t="shared" si="85"/>
        <v>#VALUE!</v>
      </c>
      <c r="AK199" s="1041">
        <f t="shared" si="86"/>
        <v>30</v>
      </c>
      <c r="AL199" s="1041">
        <f t="shared" si="87"/>
        <v>30</v>
      </c>
      <c r="AM199" s="1047">
        <f t="shared" si="88"/>
        <v>0</v>
      </c>
      <c r="AS199" s="727"/>
    </row>
    <row r="200" spans="3:45" ht="12.75" customHeight="1" x14ac:dyDescent="0.3">
      <c r="C200" s="122"/>
      <c r="D200" s="388" t="str">
        <f>IF(op!D132="","",op!D132)</f>
        <v/>
      </c>
      <c r="E200" s="388" t="str">
        <f>IF(op!E132=0,"",op!E132)</f>
        <v/>
      </c>
      <c r="F200" s="684" t="str">
        <f>IF(op!F132="","",op!F132+1)</f>
        <v/>
      </c>
      <c r="G200" s="710" t="str">
        <f>IF(op!G132="","",op!G132)</f>
        <v/>
      </c>
      <c r="H200" s="684" t="str">
        <f>IF(op!H132=0,"",op!H132)</f>
        <v/>
      </c>
      <c r="I200" s="389" t="str">
        <f>IF(J200="","",(IF(op!I132+1&gt;LOOKUP(H200,schaal2019,regels2019),op!I132,op!I132+1)))</f>
        <v/>
      </c>
      <c r="J200" s="711" t="str">
        <f>IF(op!J132="","",op!J132)</f>
        <v/>
      </c>
      <c r="K200" s="472"/>
      <c r="L200" s="1049">
        <f>IF(op!L132="","",op!L132)</f>
        <v>0</v>
      </c>
      <c r="M200" s="1049">
        <f>IF(op!M132="","",op!M132)</f>
        <v>0</v>
      </c>
      <c r="N200" s="1051" t="str">
        <f t="shared" si="64"/>
        <v/>
      </c>
      <c r="O200" s="1051" t="str">
        <f t="shared" si="65"/>
        <v/>
      </c>
      <c r="P200" s="1125" t="str">
        <f t="shared" si="66"/>
        <v/>
      </c>
      <c r="Q200" s="472"/>
      <c r="R200" s="923" t="str">
        <f t="shared" si="81"/>
        <v/>
      </c>
      <c r="S200" s="923" t="str">
        <f t="shared" si="67"/>
        <v/>
      </c>
      <c r="T200" s="925" t="str">
        <f t="shared" si="68"/>
        <v/>
      </c>
      <c r="U200" s="545"/>
      <c r="V200" s="1103"/>
      <c r="W200" s="1103"/>
      <c r="X200" s="1060"/>
      <c r="Y200" s="1095" t="e">
        <f t="shared" si="82"/>
        <v>#VALUE!</v>
      </c>
      <c r="Z200" s="1094">
        <f>tab!$B$50</f>
        <v>0.6</v>
      </c>
      <c r="AA200" s="1126" t="e">
        <f t="shared" si="70"/>
        <v>#VALUE!</v>
      </c>
      <c r="AB200" s="1126" t="e">
        <f t="shared" si="71"/>
        <v>#VALUE!</v>
      </c>
      <c r="AC200" s="1126" t="e">
        <f t="shared" si="72"/>
        <v>#VALUE!</v>
      </c>
      <c r="AD200" s="1128" t="e">
        <f t="shared" si="73"/>
        <v>#VALUE!</v>
      </c>
      <c r="AE200" s="1128">
        <f t="shared" si="74"/>
        <v>0</v>
      </c>
      <c r="AF200" s="1096">
        <f>IF(H200&gt;8,tab!$B$51,tab!$B$54)</f>
        <v>0.5</v>
      </c>
      <c r="AG200" s="1097">
        <f t="shared" si="83"/>
        <v>0</v>
      </c>
      <c r="AH200" s="1093">
        <f t="shared" si="84"/>
        <v>0</v>
      </c>
      <c r="AI200" s="1120" t="e">
        <f>DATE(YEAR(tab!$E$3),MONTH(G200),DAY(G200))&gt;tab!$E$3</f>
        <v>#VALUE!</v>
      </c>
      <c r="AJ200" s="1097" t="e">
        <f t="shared" si="85"/>
        <v>#VALUE!</v>
      </c>
      <c r="AK200" s="1041">
        <f t="shared" si="86"/>
        <v>30</v>
      </c>
      <c r="AL200" s="1041">
        <f t="shared" si="87"/>
        <v>30</v>
      </c>
      <c r="AM200" s="1047">
        <f t="shared" si="88"/>
        <v>0</v>
      </c>
      <c r="AS200" s="727"/>
    </row>
    <row r="201" spans="3:45" ht="12.75" customHeight="1" x14ac:dyDescent="0.3">
      <c r="C201" s="122"/>
      <c r="D201" s="388" t="str">
        <f>IF(op!D133="","",op!D133)</f>
        <v/>
      </c>
      <c r="E201" s="388" t="str">
        <f>IF(op!E133=0,"",op!E133)</f>
        <v/>
      </c>
      <c r="F201" s="684" t="str">
        <f>IF(op!F133="","",op!F133+1)</f>
        <v/>
      </c>
      <c r="G201" s="710" t="str">
        <f>IF(op!G133="","",op!G133)</f>
        <v/>
      </c>
      <c r="H201" s="684" t="str">
        <f>IF(op!H133=0,"",op!H133)</f>
        <v/>
      </c>
      <c r="I201" s="389" t="str">
        <f>IF(J201="","",(IF(op!I133+1&gt;LOOKUP(H201,schaal2019,regels2019),op!I133,op!I133+1)))</f>
        <v/>
      </c>
      <c r="J201" s="711" t="str">
        <f>IF(op!J133="","",op!J133)</f>
        <v/>
      </c>
      <c r="K201" s="472"/>
      <c r="L201" s="1049">
        <f>IF(op!L133="","",op!L133)</f>
        <v>0</v>
      </c>
      <c r="M201" s="1049">
        <f>IF(op!M133="","",op!M133)</f>
        <v>0</v>
      </c>
      <c r="N201" s="1051" t="str">
        <f t="shared" si="64"/>
        <v/>
      </c>
      <c r="O201" s="1051" t="str">
        <f t="shared" si="65"/>
        <v/>
      </c>
      <c r="P201" s="1125" t="str">
        <f t="shared" si="66"/>
        <v/>
      </c>
      <c r="Q201" s="472"/>
      <c r="R201" s="923" t="str">
        <f t="shared" si="81"/>
        <v/>
      </c>
      <c r="S201" s="923" t="str">
        <f t="shared" si="67"/>
        <v/>
      </c>
      <c r="T201" s="925" t="str">
        <f t="shared" si="68"/>
        <v/>
      </c>
      <c r="U201" s="545"/>
      <c r="V201" s="1103"/>
      <c r="W201" s="1103"/>
      <c r="X201" s="1060"/>
      <c r="Y201" s="1095" t="e">
        <f t="shared" si="82"/>
        <v>#VALUE!</v>
      </c>
      <c r="Z201" s="1094">
        <f>tab!$B$50</f>
        <v>0.6</v>
      </c>
      <c r="AA201" s="1126" t="e">
        <f t="shared" si="70"/>
        <v>#VALUE!</v>
      </c>
      <c r="AB201" s="1126" t="e">
        <f t="shared" si="71"/>
        <v>#VALUE!</v>
      </c>
      <c r="AC201" s="1126" t="e">
        <f t="shared" si="72"/>
        <v>#VALUE!</v>
      </c>
      <c r="AD201" s="1128" t="e">
        <f t="shared" si="73"/>
        <v>#VALUE!</v>
      </c>
      <c r="AE201" s="1128">
        <f t="shared" si="74"/>
        <v>0</v>
      </c>
      <c r="AF201" s="1096">
        <f>IF(H201&gt;8,tab!$B$51,tab!$B$54)</f>
        <v>0.5</v>
      </c>
      <c r="AG201" s="1097">
        <f t="shared" si="83"/>
        <v>0</v>
      </c>
      <c r="AH201" s="1093">
        <f t="shared" si="84"/>
        <v>0</v>
      </c>
      <c r="AI201" s="1120" t="e">
        <f>DATE(YEAR(tab!$E$3),MONTH(G201),DAY(G201))&gt;tab!$E$3</f>
        <v>#VALUE!</v>
      </c>
      <c r="AJ201" s="1097" t="e">
        <f t="shared" si="85"/>
        <v>#VALUE!</v>
      </c>
      <c r="AK201" s="1041">
        <f t="shared" si="86"/>
        <v>30</v>
      </c>
      <c r="AL201" s="1041">
        <f t="shared" si="87"/>
        <v>30</v>
      </c>
      <c r="AM201" s="1047">
        <f t="shared" si="88"/>
        <v>0</v>
      </c>
      <c r="AS201" s="727"/>
    </row>
    <row r="202" spans="3:45" ht="12.75" customHeight="1" x14ac:dyDescent="0.3">
      <c r="C202" s="122"/>
      <c r="D202" s="388" t="str">
        <f>IF(op!D134="","",op!D134)</f>
        <v/>
      </c>
      <c r="E202" s="388" t="str">
        <f>IF(op!E134=0,"",op!E134)</f>
        <v/>
      </c>
      <c r="F202" s="684" t="str">
        <f>IF(op!F134="","",op!F134+1)</f>
        <v/>
      </c>
      <c r="G202" s="710" t="str">
        <f>IF(op!G134="","",op!G134)</f>
        <v/>
      </c>
      <c r="H202" s="684" t="str">
        <f>IF(op!H134=0,"",op!H134)</f>
        <v/>
      </c>
      <c r="I202" s="389" t="str">
        <f>IF(J202="","",(IF(op!I134+1&gt;LOOKUP(H202,schaal2019,regels2019),op!I134,op!I134+1)))</f>
        <v/>
      </c>
      <c r="J202" s="711" t="str">
        <f>IF(op!J134="","",op!J134)</f>
        <v/>
      </c>
      <c r="K202" s="472"/>
      <c r="L202" s="1049">
        <f>IF(op!L134="","",op!L134)</f>
        <v>0</v>
      </c>
      <c r="M202" s="1049">
        <f>IF(op!M134="","",op!M134)</f>
        <v>0</v>
      </c>
      <c r="N202" s="1051" t="str">
        <f t="shared" si="64"/>
        <v/>
      </c>
      <c r="O202" s="1051" t="str">
        <f t="shared" si="65"/>
        <v/>
      </c>
      <c r="P202" s="1125" t="str">
        <f t="shared" si="66"/>
        <v/>
      </c>
      <c r="Q202" s="472"/>
      <c r="R202" s="923" t="str">
        <f t="shared" si="81"/>
        <v/>
      </c>
      <c r="S202" s="923" t="str">
        <f t="shared" si="67"/>
        <v/>
      </c>
      <c r="T202" s="925" t="str">
        <f t="shared" si="68"/>
        <v/>
      </c>
      <c r="U202" s="545"/>
      <c r="V202" s="1103"/>
      <c r="W202" s="1103"/>
      <c r="X202" s="1060"/>
      <c r="Y202" s="1095" t="e">
        <f t="shared" si="82"/>
        <v>#VALUE!</v>
      </c>
      <c r="Z202" s="1094">
        <f>tab!$B$50</f>
        <v>0.6</v>
      </c>
      <c r="AA202" s="1126" t="e">
        <f t="shared" si="70"/>
        <v>#VALUE!</v>
      </c>
      <c r="AB202" s="1126" t="e">
        <f t="shared" si="71"/>
        <v>#VALUE!</v>
      </c>
      <c r="AC202" s="1126" t="e">
        <f t="shared" si="72"/>
        <v>#VALUE!</v>
      </c>
      <c r="AD202" s="1128" t="e">
        <f t="shared" si="73"/>
        <v>#VALUE!</v>
      </c>
      <c r="AE202" s="1128">
        <f t="shared" si="74"/>
        <v>0</v>
      </c>
      <c r="AF202" s="1096">
        <f>IF(H202&gt;8,tab!$B$51,tab!$B$54)</f>
        <v>0.5</v>
      </c>
      <c r="AG202" s="1097">
        <f t="shared" si="83"/>
        <v>0</v>
      </c>
      <c r="AH202" s="1093">
        <f t="shared" si="84"/>
        <v>0</v>
      </c>
      <c r="AI202" s="1120" t="e">
        <f>DATE(YEAR(tab!$E$3),MONTH(G202),DAY(G202))&gt;tab!$E$3</f>
        <v>#VALUE!</v>
      </c>
      <c r="AJ202" s="1097" t="e">
        <f t="shared" si="85"/>
        <v>#VALUE!</v>
      </c>
      <c r="AK202" s="1041">
        <f t="shared" si="86"/>
        <v>30</v>
      </c>
      <c r="AL202" s="1041">
        <f t="shared" si="87"/>
        <v>30</v>
      </c>
      <c r="AM202" s="1047">
        <f t="shared" si="88"/>
        <v>0</v>
      </c>
      <c r="AS202" s="727"/>
    </row>
    <row r="203" spans="3:45" ht="12.75" customHeight="1" x14ac:dyDescent="0.3">
      <c r="C203" s="122"/>
      <c r="D203" s="388" t="str">
        <f>IF(op!D135="","",op!D135)</f>
        <v/>
      </c>
      <c r="E203" s="388" t="str">
        <f>IF(op!E135=0,"",op!E135)</f>
        <v/>
      </c>
      <c r="F203" s="684" t="str">
        <f>IF(op!F135="","",op!F135+1)</f>
        <v/>
      </c>
      <c r="G203" s="710" t="str">
        <f>IF(op!G135="","",op!G135)</f>
        <v/>
      </c>
      <c r="H203" s="684" t="str">
        <f>IF(op!H135=0,"",op!H135)</f>
        <v/>
      </c>
      <c r="I203" s="389" t="str">
        <f>IF(J203="","",(IF(op!I135+1&gt;LOOKUP(H203,schaal2019,regels2019),op!I135,op!I135+1)))</f>
        <v/>
      </c>
      <c r="J203" s="711" t="str">
        <f>IF(op!J135="","",op!J135)</f>
        <v/>
      </c>
      <c r="K203" s="472"/>
      <c r="L203" s="1049">
        <f>IF(op!L135="","",op!L135)</f>
        <v>0</v>
      </c>
      <c r="M203" s="1049">
        <f>IF(op!M135="","",op!M135)</f>
        <v>0</v>
      </c>
      <c r="N203" s="1051" t="str">
        <f t="shared" si="64"/>
        <v/>
      </c>
      <c r="O203" s="1051" t="str">
        <f t="shared" si="65"/>
        <v/>
      </c>
      <c r="P203" s="1125" t="str">
        <f t="shared" si="66"/>
        <v/>
      </c>
      <c r="Q203" s="472"/>
      <c r="R203" s="923" t="str">
        <f t="shared" si="81"/>
        <v/>
      </c>
      <c r="S203" s="923" t="str">
        <f t="shared" si="67"/>
        <v/>
      </c>
      <c r="T203" s="925" t="str">
        <f t="shared" si="68"/>
        <v/>
      </c>
      <c r="U203" s="545"/>
      <c r="V203" s="1103"/>
      <c r="W203" s="1103"/>
      <c r="X203" s="1060"/>
      <c r="Y203" s="1095" t="e">
        <f t="shared" si="82"/>
        <v>#VALUE!</v>
      </c>
      <c r="Z203" s="1094">
        <f>tab!$B$50</f>
        <v>0.6</v>
      </c>
      <c r="AA203" s="1126" t="e">
        <f t="shared" si="70"/>
        <v>#VALUE!</v>
      </c>
      <c r="AB203" s="1126" t="e">
        <f t="shared" si="71"/>
        <v>#VALUE!</v>
      </c>
      <c r="AC203" s="1126" t="e">
        <f t="shared" si="72"/>
        <v>#VALUE!</v>
      </c>
      <c r="AD203" s="1128" t="e">
        <f t="shared" si="73"/>
        <v>#VALUE!</v>
      </c>
      <c r="AE203" s="1128">
        <f t="shared" si="74"/>
        <v>0</v>
      </c>
      <c r="AF203" s="1096">
        <f>IF(H203&gt;8,tab!$B$51,tab!$B$54)</f>
        <v>0.5</v>
      </c>
      <c r="AG203" s="1097">
        <f t="shared" si="83"/>
        <v>0</v>
      </c>
      <c r="AH203" s="1093">
        <f t="shared" si="84"/>
        <v>0</v>
      </c>
      <c r="AI203" s="1120" t="e">
        <f>DATE(YEAR(tab!$E$3),MONTH(G203),DAY(G203))&gt;tab!$E$3</f>
        <v>#VALUE!</v>
      </c>
      <c r="AJ203" s="1097" t="e">
        <f t="shared" si="85"/>
        <v>#VALUE!</v>
      </c>
      <c r="AK203" s="1041">
        <f t="shared" si="86"/>
        <v>30</v>
      </c>
      <c r="AL203" s="1041">
        <f t="shared" si="87"/>
        <v>30</v>
      </c>
      <c r="AM203" s="1047">
        <f t="shared" si="88"/>
        <v>0</v>
      </c>
      <c r="AS203" s="727"/>
    </row>
    <row r="204" spans="3:45" ht="12.75" customHeight="1" x14ac:dyDescent="0.3">
      <c r="C204" s="122"/>
      <c r="D204" s="388" t="str">
        <f>IF(op!D136="","",op!D136)</f>
        <v/>
      </c>
      <c r="E204" s="388" t="str">
        <f>IF(op!E136=0,"",op!E136)</f>
        <v/>
      </c>
      <c r="F204" s="684" t="str">
        <f>IF(op!F136="","",op!F136+1)</f>
        <v/>
      </c>
      <c r="G204" s="710" t="str">
        <f>IF(op!G136="","",op!G136)</f>
        <v/>
      </c>
      <c r="H204" s="684" t="str">
        <f>IF(op!H136=0,"",op!H136)</f>
        <v/>
      </c>
      <c r="I204" s="389" t="str">
        <f>IF(J204="","",(IF(op!I136+1&gt;LOOKUP(H204,schaal2019,regels2019),op!I136,op!I136+1)))</f>
        <v/>
      </c>
      <c r="J204" s="711" t="str">
        <f>IF(op!J136="","",op!J136)</f>
        <v/>
      </c>
      <c r="K204" s="472"/>
      <c r="L204" s="1049">
        <f>IF(op!L136="","",op!L136)</f>
        <v>0</v>
      </c>
      <c r="M204" s="1049">
        <f>IF(op!M136="","",op!M136)</f>
        <v>0</v>
      </c>
      <c r="N204" s="1051" t="str">
        <f t="shared" si="64"/>
        <v/>
      </c>
      <c r="O204" s="1051" t="str">
        <f t="shared" si="65"/>
        <v/>
      </c>
      <c r="P204" s="1125" t="str">
        <f t="shared" si="66"/>
        <v/>
      </c>
      <c r="Q204" s="472"/>
      <c r="R204" s="923" t="str">
        <f t="shared" si="81"/>
        <v/>
      </c>
      <c r="S204" s="923" t="str">
        <f t="shared" si="67"/>
        <v/>
      </c>
      <c r="T204" s="925" t="str">
        <f t="shared" si="68"/>
        <v/>
      </c>
      <c r="U204" s="545"/>
      <c r="V204" s="1103"/>
      <c r="W204" s="1103"/>
      <c r="X204" s="1060"/>
      <c r="Y204" s="1095" t="e">
        <f t="shared" si="82"/>
        <v>#VALUE!</v>
      </c>
      <c r="Z204" s="1094">
        <f>tab!$B$50</f>
        <v>0.6</v>
      </c>
      <c r="AA204" s="1126" t="e">
        <f t="shared" si="70"/>
        <v>#VALUE!</v>
      </c>
      <c r="AB204" s="1126" t="e">
        <f t="shared" si="71"/>
        <v>#VALUE!</v>
      </c>
      <c r="AC204" s="1126" t="e">
        <f t="shared" si="72"/>
        <v>#VALUE!</v>
      </c>
      <c r="AD204" s="1128" t="e">
        <f t="shared" si="73"/>
        <v>#VALUE!</v>
      </c>
      <c r="AE204" s="1128">
        <f t="shared" si="74"/>
        <v>0</v>
      </c>
      <c r="AF204" s="1096">
        <f>IF(H204&gt;8,tab!$B$51,tab!$B$54)</f>
        <v>0.5</v>
      </c>
      <c r="AG204" s="1097">
        <f t="shared" si="83"/>
        <v>0</v>
      </c>
      <c r="AH204" s="1093">
        <f t="shared" si="84"/>
        <v>0</v>
      </c>
      <c r="AI204" s="1120" t="e">
        <f>DATE(YEAR(tab!$E$3),MONTH(G204),DAY(G204))&gt;tab!$E$3</f>
        <v>#VALUE!</v>
      </c>
      <c r="AJ204" s="1097" t="e">
        <f t="shared" si="85"/>
        <v>#VALUE!</v>
      </c>
      <c r="AK204" s="1041">
        <f t="shared" si="86"/>
        <v>30</v>
      </c>
      <c r="AL204" s="1041">
        <f t="shared" si="87"/>
        <v>30</v>
      </c>
      <c r="AM204" s="1047">
        <f t="shared" si="88"/>
        <v>0</v>
      </c>
      <c r="AS204" s="727"/>
    </row>
    <row r="205" spans="3:45" ht="12.75" customHeight="1" x14ac:dyDescent="0.3">
      <c r="C205" s="122"/>
      <c r="D205" s="388" t="str">
        <f>IF(op!D137="","",op!D137)</f>
        <v/>
      </c>
      <c r="E205" s="388" t="str">
        <f>IF(op!E137=0,"",op!E137)</f>
        <v/>
      </c>
      <c r="F205" s="684" t="str">
        <f>IF(op!F137="","",op!F137+1)</f>
        <v/>
      </c>
      <c r="G205" s="710" t="str">
        <f>IF(op!G137="","",op!G137)</f>
        <v/>
      </c>
      <c r="H205" s="684" t="str">
        <f>IF(op!H137=0,"",op!H137)</f>
        <v/>
      </c>
      <c r="I205" s="389" t="str">
        <f>IF(J205="","",(IF(op!I137+1&gt;LOOKUP(H205,schaal2019,regels2019),op!I137,op!I137+1)))</f>
        <v/>
      </c>
      <c r="J205" s="711" t="str">
        <f>IF(op!J137="","",op!J137)</f>
        <v/>
      </c>
      <c r="K205" s="472"/>
      <c r="L205" s="1049">
        <f>IF(op!L137="","",op!L137)</f>
        <v>0</v>
      </c>
      <c r="M205" s="1049">
        <f>IF(op!M137="","",op!M137)</f>
        <v>0</v>
      </c>
      <c r="N205" s="1051" t="str">
        <f t="shared" si="64"/>
        <v/>
      </c>
      <c r="O205" s="1051" t="str">
        <f t="shared" si="65"/>
        <v/>
      </c>
      <c r="P205" s="1125" t="str">
        <f t="shared" si="66"/>
        <v/>
      </c>
      <c r="Q205" s="472"/>
      <c r="R205" s="923" t="str">
        <f t="shared" si="81"/>
        <v/>
      </c>
      <c r="S205" s="923" t="str">
        <f t="shared" si="67"/>
        <v/>
      </c>
      <c r="T205" s="925" t="str">
        <f t="shared" si="68"/>
        <v/>
      </c>
      <c r="U205" s="545"/>
      <c r="V205" s="1103"/>
      <c r="W205" s="1103"/>
      <c r="X205" s="1060"/>
      <c r="Y205" s="1095" t="e">
        <f t="shared" si="82"/>
        <v>#VALUE!</v>
      </c>
      <c r="Z205" s="1094">
        <f>tab!$B$50</f>
        <v>0.6</v>
      </c>
      <c r="AA205" s="1126" t="e">
        <f t="shared" si="70"/>
        <v>#VALUE!</v>
      </c>
      <c r="AB205" s="1126" t="e">
        <f t="shared" si="71"/>
        <v>#VALUE!</v>
      </c>
      <c r="AC205" s="1126" t="e">
        <f t="shared" si="72"/>
        <v>#VALUE!</v>
      </c>
      <c r="AD205" s="1128" t="e">
        <f t="shared" si="73"/>
        <v>#VALUE!</v>
      </c>
      <c r="AE205" s="1128">
        <f t="shared" si="74"/>
        <v>0</v>
      </c>
      <c r="AF205" s="1096">
        <f>IF(H205&gt;8,tab!$B$51,tab!$B$54)</f>
        <v>0.5</v>
      </c>
      <c r="AG205" s="1097">
        <f t="shared" si="83"/>
        <v>0</v>
      </c>
      <c r="AH205" s="1093">
        <f t="shared" si="84"/>
        <v>0</v>
      </c>
      <c r="AI205" s="1120" t="e">
        <f>DATE(YEAR(tab!$E$3),MONTH(G205),DAY(G205))&gt;tab!$E$3</f>
        <v>#VALUE!</v>
      </c>
      <c r="AJ205" s="1097" t="e">
        <f t="shared" si="85"/>
        <v>#VALUE!</v>
      </c>
      <c r="AK205" s="1041">
        <f t="shared" si="86"/>
        <v>30</v>
      </c>
      <c r="AL205" s="1041">
        <f t="shared" si="87"/>
        <v>30</v>
      </c>
      <c r="AM205" s="1047">
        <f t="shared" si="88"/>
        <v>0</v>
      </c>
      <c r="AS205" s="727"/>
    </row>
    <row r="206" spans="3:45" ht="12.75" customHeight="1" x14ac:dyDescent="0.3">
      <c r="C206" s="122"/>
      <c r="D206" s="388" t="str">
        <f>IF(op!D138="","",op!D138)</f>
        <v/>
      </c>
      <c r="E206" s="388" t="str">
        <f>IF(op!E138=0,"",op!E138)</f>
        <v/>
      </c>
      <c r="F206" s="684" t="str">
        <f>IF(op!F138="","",op!F138+1)</f>
        <v/>
      </c>
      <c r="G206" s="710" t="str">
        <f>IF(op!G138="","",op!G138)</f>
        <v/>
      </c>
      <c r="H206" s="684" t="str">
        <f>IF(op!H138=0,"",op!H138)</f>
        <v/>
      </c>
      <c r="I206" s="389" t="str">
        <f>IF(J206="","",(IF(op!I138+1&gt;LOOKUP(H206,schaal2019,regels2019),op!I138,op!I138+1)))</f>
        <v/>
      </c>
      <c r="J206" s="711" t="str">
        <f>IF(op!J138="","",op!J138)</f>
        <v/>
      </c>
      <c r="K206" s="472"/>
      <c r="L206" s="1049">
        <f>IF(op!L138="","",op!L138)</f>
        <v>0</v>
      </c>
      <c r="M206" s="1049">
        <f>IF(op!M138="","",op!M138)</f>
        <v>0</v>
      </c>
      <c r="N206" s="1051" t="str">
        <f t="shared" si="64"/>
        <v/>
      </c>
      <c r="O206" s="1051" t="str">
        <f t="shared" si="65"/>
        <v/>
      </c>
      <c r="P206" s="1125" t="str">
        <f t="shared" si="66"/>
        <v/>
      </c>
      <c r="Q206" s="472"/>
      <c r="R206" s="923" t="str">
        <f t="shared" si="81"/>
        <v/>
      </c>
      <c r="S206" s="923" t="str">
        <f t="shared" si="67"/>
        <v/>
      </c>
      <c r="T206" s="925" t="str">
        <f t="shared" si="68"/>
        <v/>
      </c>
      <c r="U206" s="545"/>
      <c r="V206" s="1103"/>
      <c r="W206" s="1103"/>
      <c r="X206" s="1060"/>
      <c r="Y206" s="1095" t="e">
        <f t="shared" si="82"/>
        <v>#VALUE!</v>
      </c>
      <c r="Z206" s="1094">
        <f>tab!$B$50</f>
        <v>0.6</v>
      </c>
      <c r="AA206" s="1126" t="e">
        <f t="shared" si="70"/>
        <v>#VALUE!</v>
      </c>
      <c r="AB206" s="1126" t="e">
        <f t="shared" si="71"/>
        <v>#VALUE!</v>
      </c>
      <c r="AC206" s="1126" t="e">
        <f t="shared" si="72"/>
        <v>#VALUE!</v>
      </c>
      <c r="AD206" s="1128" t="e">
        <f t="shared" si="73"/>
        <v>#VALUE!</v>
      </c>
      <c r="AE206" s="1128">
        <f t="shared" si="74"/>
        <v>0</v>
      </c>
      <c r="AF206" s="1096">
        <f>IF(H206&gt;8,tab!$B$51,tab!$B$54)</f>
        <v>0.5</v>
      </c>
      <c r="AG206" s="1097">
        <f t="shared" si="83"/>
        <v>0</v>
      </c>
      <c r="AH206" s="1093">
        <f t="shared" si="84"/>
        <v>0</v>
      </c>
      <c r="AI206" s="1120" t="e">
        <f>DATE(YEAR(tab!$E$3),MONTH(G206),DAY(G206))&gt;tab!$E$3</f>
        <v>#VALUE!</v>
      </c>
      <c r="AJ206" s="1097" t="e">
        <f t="shared" si="85"/>
        <v>#VALUE!</v>
      </c>
      <c r="AK206" s="1041">
        <f t="shared" si="86"/>
        <v>30</v>
      </c>
      <c r="AL206" s="1041">
        <f t="shared" si="87"/>
        <v>30</v>
      </c>
      <c r="AM206" s="1047">
        <f t="shared" si="88"/>
        <v>0</v>
      </c>
      <c r="AS206" s="727"/>
    </row>
    <row r="207" spans="3:45" x14ac:dyDescent="0.3">
      <c r="C207" s="447"/>
      <c r="D207" s="551"/>
      <c r="E207" s="713"/>
      <c r="F207" s="713"/>
      <c r="G207" s="714"/>
      <c r="H207" s="713"/>
      <c r="I207" s="715"/>
      <c r="J207" s="958">
        <f>SUM(J152:J206)</f>
        <v>1</v>
      </c>
      <c r="L207" s="1050">
        <f t="shared" ref="L207:P207" si="89">SUM(L152:L206)</f>
        <v>0</v>
      </c>
      <c r="M207" s="1050">
        <f t="shared" si="89"/>
        <v>0</v>
      </c>
      <c r="N207" s="1050">
        <f>SUM(N152:N206)</f>
        <v>40</v>
      </c>
      <c r="O207" s="1050">
        <f t="shared" si="89"/>
        <v>0</v>
      </c>
      <c r="P207" s="1050">
        <f t="shared" si="89"/>
        <v>40</v>
      </c>
      <c r="R207" s="959">
        <f t="shared" ref="R207:T207" si="90">SUM(R152:R206)</f>
        <v>76166.191681735989</v>
      </c>
      <c r="S207" s="960">
        <f t="shared" si="90"/>
        <v>1881.8083182640146</v>
      </c>
      <c r="T207" s="959">
        <f t="shared" si="90"/>
        <v>78048</v>
      </c>
      <c r="U207" s="450"/>
      <c r="V207" s="1063"/>
      <c r="W207" s="1063"/>
      <c r="Y207" s="1095"/>
      <c r="Z207" s="1130"/>
      <c r="AA207" s="1098"/>
      <c r="AB207" s="1098"/>
      <c r="AC207" s="1098"/>
      <c r="AG207" s="1099">
        <f>SUM(AG152:AG206)</f>
        <v>0</v>
      </c>
      <c r="AH207" s="1100">
        <f>SUM(AH152:AH206)</f>
        <v>0</v>
      </c>
      <c r="AI207" s="1121"/>
      <c r="AJ207" s="1121"/>
      <c r="AS207" s="727"/>
    </row>
    <row r="208" spans="3:45" x14ac:dyDescent="0.3">
      <c r="H208" s="536"/>
      <c r="K208" s="440"/>
      <c r="Q208" s="440"/>
      <c r="R208" s="690"/>
      <c r="S208" s="716"/>
      <c r="V208" s="1063"/>
      <c r="W208" s="1063"/>
      <c r="Y208" s="1079"/>
      <c r="Z208" s="1130"/>
      <c r="AA208" s="1098"/>
      <c r="AB208" s="1098"/>
      <c r="AC208" s="1098"/>
      <c r="AG208" s="1099"/>
      <c r="AH208" s="1100"/>
      <c r="AS208" s="727"/>
    </row>
    <row r="209" spans="3:50" x14ac:dyDescent="0.3">
      <c r="V209" s="1063"/>
      <c r="W209" s="1063"/>
    </row>
    <row r="210" spans="3:50" x14ac:dyDescent="0.3">
      <c r="V210" s="1063"/>
      <c r="W210" s="1063"/>
    </row>
    <row r="211" spans="3:50" x14ac:dyDescent="0.3">
      <c r="C211" s="410" t="s">
        <v>180</v>
      </c>
      <c r="E211" s="729" t="str">
        <f>dir!E97</f>
        <v>2023/24</v>
      </c>
      <c r="V211" s="1063"/>
      <c r="W211" s="1063"/>
    </row>
    <row r="212" spans="3:50" x14ac:dyDescent="0.3">
      <c r="C212" s="410" t="s">
        <v>193</v>
      </c>
      <c r="E212" s="729">
        <f>dir!E98</f>
        <v>45200</v>
      </c>
      <c r="V212" s="1063"/>
      <c r="W212" s="1063"/>
    </row>
    <row r="213" spans="3:50" x14ac:dyDescent="0.3">
      <c r="V213" s="1063"/>
      <c r="W213" s="1063"/>
    </row>
    <row r="214" spans="3:50" ht="12.75" customHeight="1" x14ac:dyDescent="0.3">
      <c r="C214" s="682"/>
      <c r="D214" s="937"/>
      <c r="E214" s="938"/>
      <c r="F214" s="939"/>
      <c r="G214" s="940"/>
      <c r="H214" s="941"/>
      <c r="I214" s="941"/>
      <c r="J214" s="942"/>
      <c r="K214" s="943"/>
      <c r="L214" s="941"/>
      <c r="M214" s="941"/>
      <c r="N214" s="941"/>
      <c r="O214" s="941"/>
      <c r="P214" s="941"/>
      <c r="Q214" s="943"/>
      <c r="R214" s="943"/>
      <c r="S214" s="944"/>
      <c r="T214" s="945"/>
      <c r="U214" s="438"/>
      <c r="V214" s="1063"/>
      <c r="W214" s="1063"/>
      <c r="AN214" s="1044"/>
      <c r="AO214" s="1044"/>
      <c r="AP214" s="1044"/>
      <c r="AQ214" s="1044"/>
      <c r="AR214" s="953"/>
      <c r="AS214" s="693"/>
      <c r="AT214" s="695"/>
      <c r="AU214" s="707"/>
      <c r="AV214" s="694"/>
    </row>
    <row r="215" spans="3:50" ht="12.75" customHeight="1" x14ac:dyDescent="0.3">
      <c r="C215" s="125"/>
      <c r="D215" s="1033" t="s">
        <v>284</v>
      </c>
      <c r="E215" s="883"/>
      <c r="F215" s="883"/>
      <c r="G215" s="883"/>
      <c r="H215" s="883"/>
      <c r="I215" s="883"/>
      <c r="J215" s="883"/>
      <c r="K215" s="902"/>
      <c r="L215" s="1033" t="s">
        <v>502</v>
      </c>
      <c r="M215" s="1035"/>
      <c r="N215" s="1033"/>
      <c r="O215" s="1033"/>
      <c r="P215" s="1133"/>
      <c r="Q215" s="902"/>
      <c r="R215" s="1033" t="s">
        <v>503</v>
      </c>
      <c r="S215" s="1036"/>
      <c r="T215" s="1134"/>
      <c r="U215" s="1135"/>
      <c r="V215" s="1064"/>
      <c r="W215" s="1064"/>
      <c r="X215" s="384"/>
      <c r="Y215" s="1063"/>
      <c r="Z215" s="1136"/>
      <c r="AD215" s="1137"/>
      <c r="AE215" s="1137"/>
      <c r="AF215" s="1064"/>
      <c r="AG215" s="1090"/>
      <c r="AH215" s="1091"/>
      <c r="AM215" s="1041"/>
      <c r="AU215" s="410"/>
      <c r="AV215" s="410"/>
      <c r="AW215" s="725"/>
      <c r="AX215" s="725"/>
    </row>
    <row r="216" spans="3:50" ht="12.75" customHeight="1" x14ac:dyDescent="0.3">
      <c r="C216" s="125"/>
      <c r="D216" s="877" t="s">
        <v>494</v>
      </c>
      <c r="E216" s="877" t="s">
        <v>181</v>
      </c>
      <c r="F216" s="904" t="s">
        <v>137</v>
      </c>
      <c r="G216" s="905" t="s">
        <v>273</v>
      </c>
      <c r="H216" s="904" t="s">
        <v>206</v>
      </c>
      <c r="I216" s="904" t="s">
        <v>225</v>
      </c>
      <c r="J216" s="906" t="s">
        <v>140</v>
      </c>
      <c r="K216" s="881"/>
      <c r="L216" s="907" t="s">
        <v>479</v>
      </c>
      <c r="M216" s="907" t="s">
        <v>480</v>
      </c>
      <c r="N216" s="907" t="s">
        <v>478</v>
      </c>
      <c r="O216" s="907" t="s">
        <v>479</v>
      </c>
      <c r="P216" s="1138" t="s">
        <v>504</v>
      </c>
      <c r="Q216" s="881"/>
      <c r="R216" s="1037" t="s">
        <v>192</v>
      </c>
      <c r="S216" s="909" t="s">
        <v>505</v>
      </c>
      <c r="T216" s="910" t="s">
        <v>192</v>
      </c>
      <c r="U216" s="1139"/>
      <c r="V216" s="1101"/>
      <c r="W216" s="1101"/>
      <c r="X216" s="386"/>
      <c r="Y216" s="915" t="s">
        <v>303</v>
      </c>
      <c r="Z216" s="1127" t="s">
        <v>497</v>
      </c>
      <c r="AA216" s="1101" t="s">
        <v>498</v>
      </c>
      <c r="AB216" s="1101" t="s">
        <v>498</v>
      </c>
      <c r="AC216" s="1101" t="s">
        <v>495</v>
      </c>
      <c r="AD216" s="1048" t="s">
        <v>488</v>
      </c>
      <c r="AE216" s="1048" t="s">
        <v>489</v>
      </c>
      <c r="AF216" s="1101"/>
      <c r="AG216" s="1092" t="s">
        <v>297</v>
      </c>
      <c r="AH216" s="1091" t="s">
        <v>427</v>
      </c>
      <c r="AI216" s="916" t="s">
        <v>278</v>
      </c>
      <c r="AJ216" s="916" t="s">
        <v>279</v>
      </c>
      <c r="AK216" s="1059" t="s">
        <v>139</v>
      </c>
      <c r="AL216" s="1059" t="s">
        <v>204</v>
      </c>
      <c r="AM216" s="1058" t="s">
        <v>188</v>
      </c>
      <c r="AU216" s="410"/>
      <c r="AV216" s="410"/>
      <c r="AW216" s="725"/>
      <c r="AX216" s="726"/>
    </row>
    <row r="217" spans="3:50" ht="12.75" customHeight="1" x14ac:dyDescent="0.3">
      <c r="C217" s="125"/>
      <c r="D217" s="883"/>
      <c r="E217" s="877"/>
      <c r="F217" s="904" t="s">
        <v>138</v>
      </c>
      <c r="G217" s="905" t="s">
        <v>274</v>
      </c>
      <c r="H217" s="904"/>
      <c r="I217" s="904"/>
      <c r="J217" s="906" t="s">
        <v>277</v>
      </c>
      <c r="K217" s="881"/>
      <c r="L217" s="907" t="s">
        <v>482</v>
      </c>
      <c r="M217" s="907" t="s">
        <v>483</v>
      </c>
      <c r="N217" s="907" t="s">
        <v>481</v>
      </c>
      <c r="O217" s="907" t="s">
        <v>493</v>
      </c>
      <c r="P217" s="1138" t="s">
        <v>269</v>
      </c>
      <c r="Q217" s="881"/>
      <c r="R217" s="908" t="s">
        <v>506</v>
      </c>
      <c r="S217" s="909" t="s">
        <v>484</v>
      </c>
      <c r="T217" s="910" t="s">
        <v>269</v>
      </c>
      <c r="U217" s="887"/>
      <c r="V217" s="1063"/>
      <c r="W217" s="1063"/>
      <c r="X217" s="129"/>
      <c r="Y217" s="915" t="s">
        <v>197</v>
      </c>
      <c r="Z217" s="918">
        <f>tab!$B$50</f>
        <v>0.6</v>
      </c>
      <c r="AA217" s="1101" t="s">
        <v>499</v>
      </c>
      <c r="AB217" s="1101" t="s">
        <v>500</v>
      </c>
      <c r="AC217" s="1101" t="s">
        <v>501</v>
      </c>
      <c r="AD217" s="1048" t="s">
        <v>491</v>
      </c>
      <c r="AE217" s="1048" t="s">
        <v>491</v>
      </c>
      <c r="AG217" s="1092"/>
      <c r="AH217" s="1093" t="s">
        <v>224</v>
      </c>
      <c r="AI217" s="1048" t="s">
        <v>275</v>
      </c>
      <c r="AJ217" s="1048" t="s">
        <v>275</v>
      </c>
      <c r="AK217" s="1059"/>
      <c r="AL217" s="1059" t="s">
        <v>188</v>
      </c>
      <c r="AM217" s="1058"/>
      <c r="AU217" s="410"/>
      <c r="AV217" s="410"/>
      <c r="AX217" s="709"/>
    </row>
    <row r="218" spans="3:50" ht="12.75" customHeight="1" x14ac:dyDescent="0.3">
      <c r="C218" s="122"/>
      <c r="D218" s="883"/>
      <c r="E218" s="883"/>
      <c r="F218" s="946"/>
      <c r="G218" s="947"/>
      <c r="H218" s="904"/>
      <c r="I218" s="904"/>
      <c r="J218" s="906"/>
      <c r="K218" s="883"/>
      <c r="L218" s="907"/>
      <c r="M218" s="907"/>
      <c r="N218" s="907"/>
      <c r="O218" s="907"/>
      <c r="P218" s="907"/>
      <c r="Q218" s="883"/>
      <c r="R218" s="948"/>
      <c r="S218" s="909"/>
      <c r="T218" s="949"/>
      <c r="U218" s="443"/>
      <c r="V218" s="1063"/>
      <c r="W218" s="1063"/>
      <c r="Y218" s="915"/>
      <c r="Z218" s="1064"/>
      <c r="AA218" s="1064"/>
      <c r="AB218" s="1064"/>
      <c r="AC218" s="1064"/>
      <c r="AG218" s="1092"/>
      <c r="AH218" s="1093"/>
      <c r="AM218" s="1058"/>
      <c r="AU218" s="410"/>
      <c r="AV218" s="410"/>
      <c r="AX218" s="709"/>
    </row>
    <row r="219" spans="3:50" ht="12.75" customHeight="1" x14ac:dyDescent="0.3">
      <c r="C219" s="122"/>
      <c r="D219" s="388" t="str">
        <f>IF(op!D152=0,"",op!D152)</f>
        <v/>
      </c>
      <c r="E219" s="388" t="str">
        <f>IF(op!E152=0,"",op!E152)</f>
        <v>nn</v>
      </c>
      <c r="F219" s="684" t="str">
        <f>IF(op!F152="","",op!F152+1)</f>
        <v/>
      </c>
      <c r="G219" s="710">
        <f>IF(op!G152="","",op!G152)</f>
        <v>28491</v>
      </c>
      <c r="H219" s="684" t="str">
        <f>IF(op!H152=0,"",op!H152)</f>
        <v>L11</v>
      </c>
      <c r="I219" s="389">
        <f>IF(J219="","",(IF(op!I152+1&gt;LOOKUP(H219,schaal2019,regels2019),op!I152,op!I152+1)))</f>
        <v>13</v>
      </c>
      <c r="J219" s="711">
        <f>IF(op!J152="","",op!J152)</f>
        <v>1</v>
      </c>
      <c r="K219" s="472"/>
      <c r="L219" s="1049">
        <f>IF(op!L152="","",op!L152)</f>
        <v>0</v>
      </c>
      <c r="M219" s="1049">
        <f>IF(op!M152="","",op!M152)</f>
        <v>0</v>
      </c>
      <c r="N219" s="1051">
        <f t="shared" ref="N219:N273" si="91">IF(J219="","",IF((J219*40)&gt;40,40,((J219*40))))</f>
        <v>40</v>
      </c>
      <c r="O219" s="1051">
        <f t="shared" ref="O219:O273" si="92">IF(J219="","",IF(I219&lt;4,(40*J219),0))</f>
        <v>0</v>
      </c>
      <c r="P219" s="1125">
        <f t="shared" ref="P219:P273" si="93">IF(J219="","",(SUM(L219:O219)))</f>
        <v>40</v>
      </c>
      <c r="Q219" s="472"/>
      <c r="R219" s="923">
        <f>IF(J219="","",(((1659*J219)-P219)*AB219))</f>
        <v>78733.170343580481</v>
      </c>
      <c r="S219" s="923">
        <f t="shared" ref="S219:S273" si="94">IF(J219="","",(P219*AC219)+(AA219*AD219)+((AE219*AA219*(1-AF219))))</f>
        <v>1945.2296564195299</v>
      </c>
      <c r="T219" s="925">
        <f t="shared" ref="T219:T273" si="95">IF(J219="","",(R219+S219))</f>
        <v>80678.400000000009</v>
      </c>
      <c r="U219" s="545"/>
      <c r="V219" s="1103"/>
      <c r="W219" s="1103"/>
      <c r="X219" s="1060"/>
      <c r="Y219" s="1095">
        <f t="shared" ref="Y219:Y250" si="96">ROUND(5/12*VLOOKUP(H219,salaris2021,I219+1,FALSE)+7/12*VLOOKUP(H219,salaris2021,I219+1,FALSE),0)</f>
        <v>4202</v>
      </c>
      <c r="Z219" s="1094">
        <f>tab!$B$50</f>
        <v>0.6</v>
      </c>
      <c r="AA219" s="1126">
        <f t="shared" ref="AA219:AA273" si="97">(Y219*12/1659)</f>
        <v>30.394213381555154</v>
      </c>
      <c r="AB219" s="1126">
        <f t="shared" ref="AB219:AB273" si="98">(Y219*12*(1+Z219))/1659</f>
        <v>48.630741410488248</v>
      </c>
      <c r="AC219" s="1126">
        <f t="shared" ref="AC219:AC273" si="99">AB219-AA219</f>
        <v>18.236528028933094</v>
      </c>
      <c r="AD219" s="1128">
        <f t="shared" ref="AD219:AD273" si="100">(N219+O219)</f>
        <v>40</v>
      </c>
      <c r="AE219" s="1128">
        <f t="shared" ref="AE219:AE273" si="101">(L219+M219)</f>
        <v>0</v>
      </c>
      <c r="AF219" s="1096">
        <f>IF(H219&gt;8,tab!$B$51,tab!$B$54)</f>
        <v>0.5</v>
      </c>
      <c r="AG219" s="1097">
        <f t="shared" ref="AG219:AG250" si="102">IF(F219&lt;25,0,IF(F219=25,25,IF(F219&lt;40,0,IF(F219=40,40,IF(F219&gt;=40,0)))))</f>
        <v>0</v>
      </c>
      <c r="AH219" s="1093">
        <f t="shared" ref="AH219:AH250" si="103">IF(AG219=25,(Y219*1.08*(J219)/2),IF(AG219=40,(Y219*1.08*(J219)),IF(AG219=0,0)))</f>
        <v>0</v>
      </c>
      <c r="AI219" s="1120" t="b">
        <f>DATE(YEAR(tab!$F$3),MONTH(G219),DAY(G219))&gt;tab!$F$3</f>
        <v>0</v>
      </c>
      <c r="AJ219" s="1097">
        <f t="shared" ref="AJ219:AJ250" si="104">YEAR($E$212)-YEAR(G219)-AI219</f>
        <v>45</v>
      </c>
      <c r="AK219" s="1041">
        <f t="shared" ref="AK219:AK250" si="105">IF((G219=""),30,AJ219)</f>
        <v>45</v>
      </c>
      <c r="AL219" s="1041">
        <f t="shared" ref="AL219:AL250" si="106">IF((AK219)&gt;50,50,(AK219))</f>
        <v>45</v>
      </c>
      <c r="AM219" s="1047">
        <f t="shared" ref="AM219:AM250" si="107">(AL219*(SUM(J219:J219)))</f>
        <v>45</v>
      </c>
      <c r="AS219" s="727"/>
    </row>
    <row r="220" spans="3:50" ht="12.75" customHeight="1" x14ac:dyDescent="0.3">
      <c r="C220" s="122"/>
      <c r="D220" s="388" t="str">
        <f>IF(op!D153=0,"",op!D153)</f>
        <v/>
      </c>
      <c r="E220" s="388" t="str">
        <f>IF(op!E153=0,"",op!E153)</f>
        <v/>
      </c>
      <c r="F220" s="684" t="str">
        <f>IF(op!F153="","",op!F153+1)</f>
        <v/>
      </c>
      <c r="G220" s="710" t="str">
        <f>IF(op!G153="","",op!G153)</f>
        <v/>
      </c>
      <c r="H220" s="684" t="str">
        <f>IF(op!H153=0,"",op!H153)</f>
        <v/>
      </c>
      <c r="I220" s="389" t="str">
        <f>IF(J220="","",(IF(op!I153+1&gt;LOOKUP(H220,schaal2019,regels2019),op!I153,op!I153+1)))</f>
        <v/>
      </c>
      <c r="J220" s="711" t="str">
        <f>IF(op!J153="","",op!J153)</f>
        <v/>
      </c>
      <c r="K220" s="472"/>
      <c r="L220" s="1049">
        <f>IF(op!L153="","",op!L153)</f>
        <v>0</v>
      </c>
      <c r="M220" s="1049">
        <f>IF(op!M153="","",op!M153)</f>
        <v>0</v>
      </c>
      <c r="N220" s="1051" t="str">
        <f t="shared" si="91"/>
        <v/>
      </c>
      <c r="O220" s="1051" t="str">
        <f t="shared" si="92"/>
        <v/>
      </c>
      <c r="P220" s="1125" t="str">
        <f t="shared" si="93"/>
        <v/>
      </c>
      <c r="Q220" s="472"/>
      <c r="R220" s="923" t="str">
        <f>IF(J220="","",(((1659*J220)-P220)*AB220))</f>
        <v/>
      </c>
      <c r="S220" s="923" t="str">
        <f t="shared" si="94"/>
        <v/>
      </c>
      <c r="T220" s="925" t="str">
        <f t="shared" si="95"/>
        <v/>
      </c>
      <c r="U220" s="545"/>
      <c r="V220" s="1103"/>
      <c r="W220" s="1103"/>
      <c r="X220" s="1060"/>
      <c r="Y220" s="1095" t="e">
        <f t="shared" si="96"/>
        <v>#VALUE!</v>
      </c>
      <c r="Z220" s="1094">
        <f>tab!$B$50</f>
        <v>0.6</v>
      </c>
      <c r="AA220" s="1126" t="e">
        <f t="shared" si="97"/>
        <v>#VALUE!</v>
      </c>
      <c r="AB220" s="1126" t="e">
        <f t="shared" si="98"/>
        <v>#VALUE!</v>
      </c>
      <c r="AC220" s="1126" t="e">
        <f t="shared" si="99"/>
        <v>#VALUE!</v>
      </c>
      <c r="AD220" s="1128" t="e">
        <f t="shared" si="100"/>
        <v>#VALUE!</v>
      </c>
      <c r="AE220" s="1128">
        <f t="shared" si="101"/>
        <v>0</v>
      </c>
      <c r="AF220" s="1096">
        <f>IF(H220&gt;8,tab!$B$51,tab!$B$54)</f>
        <v>0.5</v>
      </c>
      <c r="AG220" s="1097">
        <f t="shared" si="102"/>
        <v>0</v>
      </c>
      <c r="AH220" s="1093">
        <f t="shared" si="103"/>
        <v>0</v>
      </c>
      <c r="AI220" s="1120" t="e">
        <f>DATE(YEAR(tab!$F$3),MONTH(G220),DAY(G220))&gt;tab!$F$3</f>
        <v>#VALUE!</v>
      </c>
      <c r="AJ220" s="1097" t="e">
        <f t="shared" si="104"/>
        <v>#VALUE!</v>
      </c>
      <c r="AK220" s="1041">
        <f t="shared" si="105"/>
        <v>30</v>
      </c>
      <c r="AL220" s="1041">
        <f t="shared" si="106"/>
        <v>30</v>
      </c>
      <c r="AM220" s="1047">
        <f t="shared" si="107"/>
        <v>0</v>
      </c>
      <c r="AS220" s="727"/>
    </row>
    <row r="221" spans="3:50" ht="12.75" customHeight="1" x14ac:dyDescent="0.3">
      <c r="C221" s="122"/>
      <c r="D221" s="388" t="str">
        <f>IF(op!D154=0,"",op!D154)</f>
        <v/>
      </c>
      <c r="E221" s="388" t="str">
        <f>IF(op!E154=0,"",op!E154)</f>
        <v/>
      </c>
      <c r="F221" s="684" t="str">
        <f>IF(op!F154="","",op!F154+1)</f>
        <v/>
      </c>
      <c r="G221" s="710" t="str">
        <f>IF(op!G154="","",op!G154)</f>
        <v/>
      </c>
      <c r="H221" s="684" t="str">
        <f>IF(op!H154=0,"",op!H154)</f>
        <v/>
      </c>
      <c r="I221" s="389" t="str">
        <f>IF(J221="","",(IF(op!I154+1&gt;LOOKUP(H221,schaal2019,regels2019),op!I154,op!I154+1)))</f>
        <v/>
      </c>
      <c r="J221" s="711" t="str">
        <f>IF(op!J154="","",op!J154)</f>
        <v/>
      </c>
      <c r="K221" s="472"/>
      <c r="L221" s="1049">
        <f>IF(op!L154="","",op!L154)</f>
        <v>0</v>
      </c>
      <c r="M221" s="1049">
        <f>IF(op!M154="","",op!M154)</f>
        <v>0</v>
      </c>
      <c r="N221" s="1051" t="str">
        <f t="shared" si="91"/>
        <v/>
      </c>
      <c r="O221" s="1051" t="str">
        <f t="shared" si="92"/>
        <v/>
      </c>
      <c r="P221" s="1125" t="str">
        <f t="shared" si="93"/>
        <v/>
      </c>
      <c r="Q221" s="472"/>
      <c r="R221" s="923" t="str">
        <f t="shared" ref="R221:R273" si="108">IF(J221="","",(((1659*J221)-P221)*AB221))</f>
        <v/>
      </c>
      <c r="S221" s="923" t="str">
        <f t="shared" si="94"/>
        <v/>
      </c>
      <c r="T221" s="925" t="str">
        <f t="shared" si="95"/>
        <v/>
      </c>
      <c r="U221" s="545"/>
      <c r="V221" s="1103"/>
      <c r="W221" s="1103"/>
      <c r="X221" s="1060"/>
      <c r="Y221" s="1095" t="e">
        <f t="shared" si="96"/>
        <v>#VALUE!</v>
      </c>
      <c r="Z221" s="1094">
        <f>tab!$B$50</f>
        <v>0.6</v>
      </c>
      <c r="AA221" s="1126" t="e">
        <f t="shared" si="97"/>
        <v>#VALUE!</v>
      </c>
      <c r="AB221" s="1126" t="e">
        <f t="shared" si="98"/>
        <v>#VALUE!</v>
      </c>
      <c r="AC221" s="1126" t="e">
        <f t="shared" si="99"/>
        <v>#VALUE!</v>
      </c>
      <c r="AD221" s="1128" t="e">
        <f t="shared" si="100"/>
        <v>#VALUE!</v>
      </c>
      <c r="AE221" s="1128">
        <f t="shared" si="101"/>
        <v>0</v>
      </c>
      <c r="AF221" s="1096">
        <f>IF(H221&gt;8,tab!$B$51,tab!$B$54)</f>
        <v>0.5</v>
      </c>
      <c r="AG221" s="1097">
        <f t="shared" si="102"/>
        <v>0</v>
      </c>
      <c r="AH221" s="1093">
        <f t="shared" si="103"/>
        <v>0</v>
      </c>
      <c r="AI221" s="1120" t="e">
        <f>DATE(YEAR(tab!$F$3),MONTH(G221),DAY(G221))&gt;tab!$F$3</f>
        <v>#VALUE!</v>
      </c>
      <c r="AJ221" s="1097" t="e">
        <f t="shared" si="104"/>
        <v>#VALUE!</v>
      </c>
      <c r="AK221" s="1041">
        <f t="shared" si="105"/>
        <v>30</v>
      </c>
      <c r="AL221" s="1041">
        <f t="shared" si="106"/>
        <v>30</v>
      </c>
      <c r="AM221" s="1047">
        <f t="shared" si="107"/>
        <v>0</v>
      </c>
      <c r="AS221" s="727"/>
    </row>
    <row r="222" spans="3:50" ht="12.75" customHeight="1" x14ac:dyDescent="0.3">
      <c r="C222" s="122"/>
      <c r="D222" s="388" t="str">
        <f>IF(op!D155=0,"",op!D155)</f>
        <v/>
      </c>
      <c r="E222" s="388" t="str">
        <f>IF(op!E155=0,"",op!E155)</f>
        <v/>
      </c>
      <c r="F222" s="684" t="str">
        <f>IF(op!F155="","",op!F155+1)</f>
        <v/>
      </c>
      <c r="G222" s="710" t="str">
        <f>IF(op!G155="","",op!G155)</f>
        <v/>
      </c>
      <c r="H222" s="684" t="str">
        <f>IF(op!H155=0,"",op!H155)</f>
        <v/>
      </c>
      <c r="I222" s="389" t="str">
        <f>IF(J222="","",(IF(op!I155+1&gt;LOOKUP(H222,schaal2019,regels2019),op!I155,op!I155+1)))</f>
        <v/>
      </c>
      <c r="J222" s="711" t="str">
        <f>IF(op!J155="","",op!J155)</f>
        <v/>
      </c>
      <c r="K222" s="472"/>
      <c r="L222" s="1049">
        <f>IF(op!L155="","",op!L155)</f>
        <v>0</v>
      </c>
      <c r="M222" s="1049">
        <f>IF(op!M155="","",op!M155)</f>
        <v>0</v>
      </c>
      <c r="N222" s="1051" t="str">
        <f t="shared" si="91"/>
        <v/>
      </c>
      <c r="O222" s="1051" t="str">
        <f t="shared" si="92"/>
        <v/>
      </c>
      <c r="P222" s="1125" t="str">
        <f t="shared" si="93"/>
        <v/>
      </c>
      <c r="Q222" s="472"/>
      <c r="R222" s="923" t="str">
        <f t="shared" si="108"/>
        <v/>
      </c>
      <c r="S222" s="923" t="str">
        <f t="shared" si="94"/>
        <v/>
      </c>
      <c r="T222" s="925" t="str">
        <f t="shared" si="95"/>
        <v/>
      </c>
      <c r="U222" s="545"/>
      <c r="V222" s="1103"/>
      <c r="W222" s="1103"/>
      <c r="X222" s="1060"/>
      <c r="Y222" s="1095" t="e">
        <f t="shared" si="96"/>
        <v>#VALUE!</v>
      </c>
      <c r="Z222" s="1094">
        <f>tab!$B$50</f>
        <v>0.6</v>
      </c>
      <c r="AA222" s="1126" t="e">
        <f t="shared" si="97"/>
        <v>#VALUE!</v>
      </c>
      <c r="AB222" s="1126" t="e">
        <f t="shared" si="98"/>
        <v>#VALUE!</v>
      </c>
      <c r="AC222" s="1126" t="e">
        <f t="shared" si="99"/>
        <v>#VALUE!</v>
      </c>
      <c r="AD222" s="1128" t="e">
        <f t="shared" si="100"/>
        <v>#VALUE!</v>
      </c>
      <c r="AE222" s="1128">
        <f t="shared" si="101"/>
        <v>0</v>
      </c>
      <c r="AF222" s="1096">
        <f>IF(H222&gt;8,tab!$B$51,tab!$B$54)</f>
        <v>0.5</v>
      </c>
      <c r="AG222" s="1097">
        <f t="shared" si="102"/>
        <v>0</v>
      </c>
      <c r="AH222" s="1093">
        <f t="shared" si="103"/>
        <v>0</v>
      </c>
      <c r="AI222" s="1120" t="e">
        <f>DATE(YEAR(tab!$F$3),MONTH(G222),DAY(G222))&gt;tab!$F$3</f>
        <v>#VALUE!</v>
      </c>
      <c r="AJ222" s="1097" t="e">
        <f t="shared" si="104"/>
        <v>#VALUE!</v>
      </c>
      <c r="AK222" s="1041">
        <f t="shared" si="105"/>
        <v>30</v>
      </c>
      <c r="AL222" s="1041">
        <f t="shared" si="106"/>
        <v>30</v>
      </c>
      <c r="AM222" s="1047">
        <f t="shared" si="107"/>
        <v>0</v>
      </c>
      <c r="AS222" s="727"/>
    </row>
    <row r="223" spans="3:50" ht="12.75" customHeight="1" x14ac:dyDescent="0.3">
      <c r="C223" s="122"/>
      <c r="D223" s="388" t="str">
        <f>IF(op!D156=0,"",op!D156)</f>
        <v/>
      </c>
      <c r="E223" s="388" t="str">
        <f>IF(op!E156=0,"",op!E156)</f>
        <v/>
      </c>
      <c r="F223" s="684" t="str">
        <f>IF(op!F156="","",op!F156+1)</f>
        <v/>
      </c>
      <c r="G223" s="710" t="str">
        <f>IF(op!G156="","",op!G156)</f>
        <v/>
      </c>
      <c r="H223" s="684" t="str">
        <f>IF(op!H156=0,"",op!H156)</f>
        <v/>
      </c>
      <c r="I223" s="389" t="str">
        <f>IF(J223="","",(IF(op!I156+1&gt;LOOKUP(H223,schaal2019,regels2019),op!I156,op!I156+1)))</f>
        <v/>
      </c>
      <c r="J223" s="711" t="str">
        <f>IF(op!J156="","",op!J156)</f>
        <v/>
      </c>
      <c r="K223" s="472"/>
      <c r="L223" s="1049">
        <f>IF(op!L156="","",op!L156)</f>
        <v>0</v>
      </c>
      <c r="M223" s="1049">
        <f>IF(op!M156="","",op!M156)</f>
        <v>0</v>
      </c>
      <c r="N223" s="1051" t="str">
        <f t="shared" si="91"/>
        <v/>
      </c>
      <c r="O223" s="1051" t="str">
        <f t="shared" si="92"/>
        <v/>
      </c>
      <c r="P223" s="1125" t="str">
        <f t="shared" si="93"/>
        <v/>
      </c>
      <c r="Q223" s="472"/>
      <c r="R223" s="923" t="str">
        <f t="shared" si="108"/>
        <v/>
      </c>
      <c r="S223" s="923" t="str">
        <f t="shared" si="94"/>
        <v/>
      </c>
      <c r="T223" s="925" t="str">
        <f t="shared" si="95"/>
        <v/>
      </c>
      <c r="U223" s="545"/>
      <c r="V223" s="1103"/>
      <c r="W223" s="1103"/>
      <c r="X223" s="1060"/>
      <c r="Y223" s="1095" t="e">
        <f t="shared" si="96"/>
        <v>#VALUE!</v>
      </c>
      <c r="Z223" s="1094">
        <f>tab!$B$50</f>
        <v>0.6</v>
      </c>
      <c r="AA223" s="1126" t="e">
        <f t="shared" si="97"/>
        <v>#VALUE!</v>
      </c>
      <c r="AB223" s="1126" t="e">
        <f t="shared" si="98"/>
        <v>#VALUE!</v>
      </c>
      <c r="AC223" s="1126" t="e">
        <f t="shared" si="99"/>
        <v>#VALUE!</v>
      </c>
      <c r="AD223" s="1128" t="e">
        <f t="shared" si="100"/>
        <v>#VALUE!</v>
      </c>
      <c r="AE223" s="1128">
        <f t="shared" si="101"/>
        <v>0</v>
      </c>
      <c r="AF223" s="1096">
        <f>IF(H223&gt;8,tab!$B$51,tab!$B$54)</f>
        <v>0.5</v>
      </c>
      <c r="AG223" s="1097">
        <f t="shared" si="102"/>
        <v>0</v>
      </c>
      <c r="AH223" s="1093">
        <f t="shared" si="103"/>
        <v>0</v>
      </c>
      <c r="AI223" s="1120" t="e">
        <f>DATE(YEAR(tab!$F$3),MONTH(G223),DAY(G223))&gt;tab!$F$3</f>
        <v>#VALUE!</v>
      </c>
      <c r="AJ223" s="1097" t="e">
        <f t="shared" si="104"/>
        <v>#VALUE!</v>
      </c>
      <c r="AK223" s="1041">
        <f t="shared" si="105"/>
        <v>30</v>
      </c>
      <c r="AL223" s="1041">
        <f t="shared" si="106"/>
        <v>30</v>
      </c>
      <c r="AM223" s="1047">
        <f t="shared" si="107"/>
        <v>0</v>
      </c>
      <c r="AS223" s="727"/>
    </row>
    <row r="224" spans="3:50" ht="12.75" customHeight="1" x14ac:dyDescent="0.3">
      <c r="C224" s="122"/>
      <c r="D224" s="388" t="str">
        <f>IF(op!D157=0,"",op!D157)</f>
        <v/>
      </c>
      <c r="E224" s="388" t="str">
        <f>IF(op!E157=0,"",op!E157)</f>
        <v/>
      </c>
      <c r="F224" s="684" t="str">
        <f>IF(op!F157="","",op!F157+1)</f>
        <v/>
      </c>
      <c r="G224" s="710" t="str">
        <f>IF(op!G157="","",op!G157)</f>
        <v/>
      </c>
      <c r="H224" s="684" t="str">
        <f>IF(op!H157=0,"",op!H157)</f>
        <v/>
      </c>
      <c r="I224" s="389" t="str">
        <f>IF(J224="","",(IF(op!I157+1&gt;LOOKUP(H224,schaal2019,regels2019),op!I157,op!I157+1)))</f>
        <v/>
      </c>
      <c r="J224" s="711" t="str">
        <f>IF(op!J157="","",op!J157)</f>
        <v/>
      </c>
      <c r="K224" s="472"/>
      <c r="L224" s="1049">
        <f>IF(op!L157="","",op!L157)</f>
        <v>0</v>
      </c>
      <c r="M224" s="1049">
        <f>IF(op!M157="","",op!M157)</f>
        <v>0</v>
      </c>
      <c r="N224" s="1051" t="str">
        <f t="shared" si="91"/>
        <v/>
      </c>
      <c r="O224" s="1051" t="str">
        <f t="shared" si="92"/>
        <v/>
      </c>
      <c r="P224" s="1125" t="str">
        <f t="shared" si="93"/>
        <v/>
      </c>
      <c r="Q224" s="472"/>
      <c r="R224" s="923" t="str">
        <f t="shared" si="108"/>
        <v/>
      </c>
      <c r="S224" s="923" t="str">
        <f t="shared" si="94"/>
        <v/>
      </c>
      <c r="T224" s="925" t="str">
        <f t="shared" si="95"/>
        <v/>
      </c>
      <c r="U224" s="545"/>
      <c r="V224" s="1103"/>
      <c r="W224" s="1103"/>
      <c r="X224" s="1060"/>
      <c r="Y224" s="1095" t="e">
        <f t="shared" si="96"/>
        <v>#VALUE!</v>
      </c>
      <c r="Z224" s="1094">
        <f>tab!$B$50</f>
        <v>0.6</v>
      </c>
      <c r="AA224" s="1126" t="e">
        <f t="shared" si="97"/>
        <v>#VALUE!</v>
      </c>
      <c r="AB224" s="1126" t="e">
        <f t="shared" si="98"/>
        <v>#VALUE!</v>
      </c>
      <c r="AC224" s="1126" t="e">
        <f t="shared" si="99"/>
        <v>#VALUE!</v>
      </c>
      <c r="AD224" s="1128" t="e">
        <f t="shared" si="100"/>
        <v>#VALUE!</v>
      </c>
      <c r="AE224" s="1128">
        <f t="shared" si="101"/>
        <v>0</v>
      </c>
      <c r="AF224" s="1096">
        <f>IF(H224&gt;8,tab!$B$51,tab!$B$54)</f>
        <v>0.5</v>
      </c>
      <c r="AG224" s="1097">
        <f t="shared" si="102"/>
        <v>0</v>
      </c>
      <c r="AH224" s="1093">
        <f t="shared" si="103"/>
        <v>0</v>
      </c>
      <c r="AI224" s="1120" t="e">
        <f>DATE(YEAR(tab!$F$3),MONTH(G224),DAY(G224))&gt;tab!$F$3</f>
        <v>#VALUE!</v>
      </c>
      <c r="AJ224" s="1097" t="e">
        <f t="shared" si="104"/>
        <v>#VALUE!</v>
      </c>
      <c r="AK224" s="1041">
        <f t="shared" si="105"/>
        <v>30</v>
      </c>
      <c r="AL224" s="1041">
        <f t="shared" si="106"/>
        <v>30</v>
      </c>
      <c r="AM224" s="1047">
        <f t="shared" si="107"/>
        <v>0</v>
      </c>
      <c r="AS224" s="727"/>
    </row>
    <row r="225" spans="3:45" ht="12.75" customHeight="1" x14ac:dyDescent="0.3">
      <c r="C225" s="122"/>
      <c r="D225" s="388" t="str">
        <f>IF(op!D158=0,"",op!D158)</f>
        <v/>
      </c>
      <c r="E225" s="388" t="str">
        <f>IF(op!E158=0,"",op!E158)</f>
        <v/>
      </c>
      <c r="F225" s="684" t="str">
        <f>IF(op!F158="","",op!F158+1)</f>
        <v/>
      </c>
      <c r="G225" s="710" t="str">
        <f>IF(op!G158="","",op!G158)</f>
        <v/>
      </c>
      <c r="H225" s="684" t="str">
        <f>IF(op!H158=0,"",op!H158)</f>
        <v/>
      </c>
      <c r="I225" s="389" t="str">
        <f>IF(J225="","",(IF(op!I158+1&gt;LOOKUP(H225,schaal2019,regels2019),op!I158,op!I158+1)))</f>
        <v/>
      </c>
      <c r="J225" s="711" t="str">
        <f>IF(op!J158="","",op!J158)</f>
        <v/>
      </c>
      <c r="K225" s="472"/>
      <c r="L225" s="1049">
        <f>IF(op!L158="","",op!L158)</f>
        <v>0</v>
      </c>
      <c r="M225" s="1049">
        <f>IF(op!M158="","",op!M158)</f>
        <v>0</v>
      </c>
      <c r="N225" s="1051" t="str">
        <f t="shared" si="91"/>
        <v/>
      </c>
      <c r="O225" s="1051" t="str">
        <f t="shared" si="92"/>
        <v/>
      </c>
      <c r="P225" s="1125" t="str">
        <f t="shared" si="93"/>
        <v/>
      </c>
      <c r="Q225" s="472"/>
      <c r="R225" s="923" t="str">
        <f t="shared" si="108"/>
        <v/>
      </c>
      <c r="S225" s="923" t="str">
        <f t="shared" si="94"/>
        <v/>
      </c>
      <c r="T225" s="925" t="str">
        <f t="shared" si="95"/>
        <v/>
      </c>
      <c r="U225" s="545"/>
      <c r="V225" s="1103"/>
      <c r="W225" s="1103"/>
      <c r="X225" s="1060"/>
      <c r="Y225" s="1095" t="e">
        <f t="shared" si="96"/>
        <v>#VALUE!</v>
      </c>
      <c r="Z225" s="1094">
        <f>tab!$B$50</f>
        <v>0.6</v>
      </c>
      <c r="AA225" s="1126" t="e">
        <f t="shared" si="97"/>
        <v>#VALUE!</v>
      </c>
      <c r="AB225" s="1126" t="e">
        <f t="shared" si="98"/>
        <v>#VALUE!</v>
      </c>
      <c r="AC225" s="1126" t="e">
        <f t="shared" si="99"/>
        <v>#VALUE!</v>
      </c>
      <c r="AD225" s="1128" t="e">
        <f t="shared" si="100"/>
        <v>#VALUE!</v>
      </c>
      <c r="AE225" s="1128">
        <f t="shared" si="101"/>
        <v>0</v>
      </c>
      <c r="AF225" s="1096">
        <f>IF(H225&gt;8,tab!$B$51,tab!$B$54)</f>
        <v>0.5</v>
      </c>
      <c r="AG225" s="1097">
        <f t="shared" si="102"/>
        <v>0</v>
      </c>
      <c r="AH225" s="1093">
        <f t="shared" si="103"/>
        <v>0</v>
      </c>
      <c r="AI225" s="1120" t="e">
        <f>DATE(YEAR(tab!$F$3),MONTH(G225),DAY(G225))&gt;tab!$F$3</f>
        <v>#VALUE!</v>
      </c>
      <c r="AJ225" s="1097" t="e">
        <f t="shared" si="104"/>
        <v>#VALUE!</v>
      </c>
      <c r="AK225" s="1041">
        <f t="shared" si="105"/>
        <v>30</v>
      </c>
      <c r="AL225" s="1041">
        <f t="shared" si="106"/>
        <v>30</v>
      </c>
      <c r="AM225" s="1047">
        <f t="shared" si="107"/>
        <v>0</v>
      </c>
      <c r="AS225" s="727"/>
    </row>
    <row r="226" spans="3:45" ht="12.75" customHeight="1" x14ac:dyDescent="0.3">
      <c r="C226" s="122"/>
      <c r="D226" s="388" t="str">
        <f>IF(op!D159=0,"",op!D159)</f>
        <v/>
      </c>
      <c r="E226" s="388" t="str">
        <f>IF(op!E159=0,"",op!E159)</f>
        <v/>
      </c>
      <c r="F226" s="684" t="str">
        <f>IF(op!F159="","",op!F159+1)</f>
        <v/>
      </c>
      <c r="G226" s="710" t="str">
        <f>IF(op!G159="","",op!G159)</f>
        <v/>
      </c>
      <c r="H226" s="684" t="str">
        <f>IF(op!H159=0,"",op!H159)</f>
        <v/>
      </c>
      <c r="I226" s="389" t="str">
        <f>IF(J226="","",(IF(op!I159+1&gt;LOOKUP(H226,schaal2019,regels2019),op!I159,op!I159+1)))</f>
        <v/>
      </c>
      <c r="J226" s="711" t="str">
        <f>IF(op!J159="","",op!J159)</f>
        <v/>
      </c>
      <c r="K226" s="472"/>
      <c r="L226" s="1049">
        <f>IF(op!L159="","",op!L159)</f>
        <v>0</v>
      </c>
      <c r="M226" s="1049">
        <f>IF(op!M159="","",op!M159)</f>
        <v>0</v>
      </c>
      <c r="N226" s="1051" t="str">
        <f t="shared" si="91"/>
        <v/>
      </c>
      <c r="O226" s="1051" t="str">
        <f t="shared" si="92"/>
        <v/>
      </c>
      <c r="P226" s="1125" t="str">
        <f t="shared" si="93"/>
        <v/>
      </c>
      <c r="Q226" s="472"/>
      <c r="R226" s="923" t="str">
        <f t="shared" si="108"/>
        <v/>
      </c>
      <c r="S226" s="923" t="str">
        <f t="shared" si="94"/>
        <v/>
      </c>
      <c r="T226" s="925" t="str">
        <f t="shared" si="95"/>
        <v/>
      </c>
      <c r="U226" s="545"/>
      <c r="V226" s="1103"/>
      <c r="W226" s="1103"/>
      <c r="X226" s="1060"/>
      <c r="Y226" s="1095" t="e">
        <f t="shared" si="96"/>
        <v>#VALUE!</v>
      </c>
      <c r="Z226" s="1094">
        <f>tab!$B$50</f>
        <v>0.6</v>
      </c>
      <c r="AA226" s="1126" t="e">
        <f t="shared" si="97"/>
        <v>#VALUE!</v>
      </c>
      <c r="AB226" s="1126" t="e">
        <f t="shared" si="98"/>
        <v>#VALUE!</v>
      </c>
      <c r="AC226" s="1126" t="e">
        <f t="shared" si="99"/>
        <v>#VALUE!</v>
      </c>
      <c r="AD226" s="1128" t="e">
        <f t="shared" si="100"/>
        <v>#VALUE!</v>
      </c>
      <c r="AE226" s="1128">
        <f t="shared" si="101"/>
        <v>0</v>
      </c>
      <c r="AF226" s="1096">
        <f>IF(H226&gt;8,tab!$B$51,tab!$B$54)</f>
        <v>0.5</v>
      </c>
      <c r="AG226" s="1097">
        <f t="shared" si="102"/>
        <v>0</v>
      </c>
      <c r="AH226" s="1093">
        <f t="shared" si="103"/>
        <v>0</v>
      </c>
      <c r="AI226" s="1120" t="e">
        <f>DATE(YEAR(tab!$F$3),MONTH(G226),DAY(G226))&gt;tab!$F$3</f>
        <v>#VALUE!</v>
      </c>
      <c r="AJ226" s="1097" t="e">
        <f t="shared" si="104"/>
        <v>#VALUE!</v>
      </c>
      <c r="AK226" s="1041">
        <f t="shared" si="105"/>
        <v>30</v>
      </c>
      <c r="AL226" s="1041">
        <f t="shared" si="106"/>
        <v>30</v>
      </c>
      <c r="AM226" s="1047">
        <f t="shared" si="107"/>
        <v>0</v>
      </c>
      <c r="AS226" s="727"/>
    </row>
    <row r="227" spans="3:45" ht="12.75" customHeight="1" x14ac:dyDescent="0.3">
      <c r="C227" s="122"/>
      <c r="D227" s="388" t="str">
        <f>IF(op!D160=0,"",op!D160)</f>
        <v/>
      </c>
      <c r="E227" s="388" t="str">
        <f>IF(op!E160=0,"",op!E160)</f>
        <v/>
      </c>
      <c r="F227" s="684" t="str">
        <f>IF(op!F160="","",op!F160+1)</f>
        <v/>
      </c>
      <c r="G227" s="710" t="str">
        <f>IF(op!G160="","",op!G160)</f>
        <v/>
      </c>
      <c r="H227" s="684" t="str">
        <f>IF(op!H160=0,"",op!H160)</f>
        <v/>
      </c>
      <c r="I227" s="389" t="str">
        <f>IF(J227="","",(IF(op!I160+1&gt;LOOKUP(H227,schaal2019,regels2019),op!I160,op!I160+1)))</f>
        <v/>
      </c>
      <c r="J227" s="711" t="str">
        <f>IF(op!J160="","",op!J160)</f>
        <v/>
      </c>
      <c r="K227" s="472"/>
      <c r="L227" s="1049">
        <f>IF(op!L160="","",op!L160)</f>
        <v>0</v>
      </c>
      <c r="M227" s="1049">
        <f>IF(op!M160="","",op!M160)</f>
        <v>0</v>
      </c>
      <c r="N227" s="1051" t="str">
        <f t="shared" si="91"/>
        <v/>
      </c>
      <c r="O227" s="1051" t="str">
        <f t="shared" si="92"/>
        <v/>
      </c>
      <c r="P227" s="1125" t="str">
        <f t="shared" si="93"/>
        <v/>
      </c>
      <c r="Q227" s="472"/>
      <c r="R227" s="923" t="str">
        <f t="shared" si="108"/>
        <v/>
      </c>
      <c r="S227" s="923" t="str">
        <f t="shared" si="94"/>
        <v/>
      </c>
      <c r="T227" s="925" t="str">
        <f t="shared" si="95"/>
        <v/>
      </c>
      <c r="U227" s="545"/>
      <c r="V227" s="1103"/>
      <c r="W227" s="1103"/>
      <c r="X227" s="1060"/>
      <c r="Y227" s="1095" t="e">
        <f t="shared" si="96"/>
        <v>#VALUE!</v>
      </c>
      <c r="Z227" s="1094">
        <f>tab!$B$50</f>
        <v>0.6</v>
      </c>
      <c r="AA227" s="1126" t="e">
        <f t="shared" si="97"/>
        <v>#VALUE!</v>
      </c>
      <c r="AB227" s="1126" t="e">
        <f t="shared" si="98"/>
        <v>#VALUE!</v>
      </c>
      <c r="AC227" s="1126" t="e">
        <f t="shared" si="99"/>
        <v>#VALUE!</v>
      </c>
      <c r="AD227" s="1128" t="e">
        <f t="shared" si="100"/>
        <v>#VALUE!</v>
      </c>
      <c r="AE227" s="1128">
        <f t="shared" si="101"/>
        <v>0</v>
      </c>
      <c r="AF227" s="1096">
        <f>IF(H227&gt;8,tab!$B$51,tab!$B$54)</f>
        <v>0.5</v>
      </c>
      <c r="AG227" s="1097">
        <f t="shared" si="102"/>
        <v>0</v>
      </c>
      <c r="AH227" s="1093">
        <f t="shared" si="103"/>
        <v>0</v>
      </c>
      <c r="AI227" s="1120" t="e">
        <f>DATE(YEAR(tab!$F$3),MONTH(G227),DAY(G227))&gt;tab!$F$3</f>
        <v>#VALUE!</v>
      </c>
      <c r="AJ227" s="1097" t="e">
        <f t="shared" si="104"/>
        <v>#VALUE!</v>
      </c>
      <c r="AK227" s="1041">
        <f t="shared" si="105"/>
        <v>30</v>
      </c>
      <c r="AL227" s="1041">
        <f t="shared" si="106"/>
        <v>30</v>
      </c>
      <c r="AM227" s="1047">
        <f t="shared" si="107"/>
        <v>0</v>
      </c>
      <c r="AS227" s="727"/>
    </row>
    <row r="228" spans="3:45" ht="12.75" customHeight="1" x14ac:dyDescent="0.3">
      <c r="C228" s="122"/>
      <c r="D228" s="388" t="str">
        <f>IF(op!D161=0,"",op!D161)</f>
        <v/>
      </c>
      <c r="E228" s="388" t="str">
        <f>IF(op!E161=0,"",op!E161)</f>
        <v/>
      </c>
      <c r="F228" s="684" t="str">
        <f>IF(op!F161="","",op!F161+1)</f>
        <v/>
      </c>
      <c r="G228" s="710" t="str">
        <f>IF(op!G161="","",op!G161)</f>
        <v/>
      </c>
      <c r="H228" s="684" t="str">
        <f>IF(op!H161=0,"",op!H161)</f>
        <v/>
      </c>
      <c r="I228" s="389" t="str">
        <f>IF(J228="","",(IF(op!I161+1&gt;LOOKUP(H228,schaal2019,regels2019),op!I161,op!I161+1)))</f>
        <v/>
      </c>
      <c r="J228" s="711" t="str">
        <f>IF(op!J161="","",op!J161)</f>
        <v/>
      </c>
      <c r="K228" s="472"/>
      <c r="L228" s="1049">
        <f>IF(op!L161="","",op!L161)</f>
        <v>0</v>
      </c>
      <c r="M228" s="1049">
        <f>IF(op!M161="","",op!M161)</f>
        <v>0</v>
      </c>
      <c r="N228" s="1051" t="str">
        <f t="shared" si="91"/>
        <v/>
      </c>
      <c r="O228" s="1051" t="str">
        <f t="shared" si="92"/>
        <v/>
      </c>
      <c r="P228" s="1125" t="str">
        <f t="shared" si="93"/>
        <v/>
      </c>
      <c r="Q228" s="472"/>
      <c r="R228" s="923" t="str">
        <f t="shared" si="108"/>
        <v/>
      </c>
      <c r="S228" s="923" t="str">
        <f t="shared" si="94"/>
        <v/>
      </c>
      <c r="T228" s="925" t="str">
        <f t="shared" si="95"/>
        <v/>
      </c>
      <c r="U228" s="545"/>
      <c r="V228" s="1103"/>
      <c r="W228" s="1103"/>
      <c r="X228" s="1060"/>
      <c r="Y228" s="1095" t="e">
        <f t="shared" si="96"/>
        <v>#VALUE!</v>
      </c>
      <c r="Z228" s="1094">
        <f>tab!$B$50</f>
        <v>0.6</v>
      </c>
      <c r="AA228" s="1126" t="e">
        <f t="shared" si="97"/>
        <v>#VALUE!</v>
      </c>
      <c r="AB228" s="1126" t="e">
        <f t="shared" si="98"/>
        <v>#VALUE!</v>
      </c>
      <c r="AC228" s="1126" t="e">
        <f t="shared" si="99"/>
        <v>#VALUE!</v>
      </c>
      <c r="AD228" s="1128" t="e">
        <f t="shared" si="100"/>
        <v>#VALUE!</v>
      </c>
      <c r="AE228" s="1128">
        <f t="shared" si="101"/>
        <v>0</v>
      </c>
      <c r="AF228" s="1096">
        <f>IF(H228&gt;8,tab!$B$51,tab!$B$54)</f>
        <v>0.5</v>
      </c>
      <c r="AG228" s="1097">
        <f t="shared" si="102"/>
        <v>0</v>
      </c>
      <c r="AH228" s="1093">
        <f t="shared" si="103"/>
        <v>0</v>
      </c>
      <c r="AI228" s="1120" t="e">
        <f>DATE(YEAR(tab!$F$3),MONTH(G228),DAY(G228))&gt;tab!$F$3</f>
        <v>#VALUE!</v>
      </c>
      <c r="AJ228" s="1097" t="e">
        <f t="shared" si="104"/>
        <v>#VALUE!</v>
      </c>
      <c r="AK228" s="1041">
        <f t="shared" si="105"/>
        <v>30</v>
      </c>
      <c r="AL228" s="1041">
        <f t="shared" si="106"/>
        <v>30</v>
      </c>
      <c r="AM228" s="1047">
        <f t="shared" si="107"/>
        <v>0</v>
      </c>
      <c r="AS228" s="727"/>
    </row>
    <row r="229" spans="3:45" ht="12.75" customHeight="1" x14ac:dyDescent="0.3">
      <c r="C229" s="122"/>
      <c r="D229" s="388" t="str">
        <f>IF(op!D162=0,"",op!D162)</f>
        <v/>
      </c>
      <c r="E229" s="388" t="str">
        <f>IF(op!E162=0,"",op!E162)</f>
        <v/>
      </c>
      <c r="F229" s="684" t="str">
        <f>IF(op!F162="","",op!F162+1)</f>
        <v/>
      </c>
      <c r="G229" s="710" t="str">
        <f>IF(op!G162="","",op!G162)</f>
        <v/>
      </c>
      <c r="H229" s="684" t="str">
        <f>IF(op!H162=0,"",op!H162)</f>
        <v/>
      </c>
      <c r="I229" s="389" t="str">
        <f>IF(J229="","",(IF(op!I162+1&gt;LOOKUP(H229,schaal2019,regels2019),op!I162,op!I162+1)))</f>
        <v/>
      </c>
      <c r="J229" s="711" t="str">
        <f>IF(op!J162="","",op!J162)</f>
        <v/>
      </c>
      <c r="K229" s="472"/>
      <c r="L229" s="1049">
        <f>IF(op!L162="","",op!L162)</f>
        <v>0</v>
      </c>
      <c r="M229" s="1049">
        <f>IF(op!M162="","",op!M162)</f>
        <v>0</v>
      </c>
      <c r="N229" s="1051" t="str">
        <f t="shared" si="91"/>
        <v/>
      </c>
      <c r="O229" s="1051" t="str">
        <f t="shared" si="92"/>
        <v/>
      </c>
      <c r="P229" s="1125" t="str">
        <f t="shared" si="93"/>
        <v/>
      </c>
      <c r="Q229" s="472"/>
      <c r="R229" s="923" t="str">
        <f t="shared" si="108"/>
        <v/>
      </c>
      <c r="S229" s="923" t="str">
        <f t="shared" si="94"/>
        <v/>
      </c>
      <c r="T229" s="925" t="str">
        <f t="shared" si="95"/>
        <v/>
      </c>
      <c r="U229" s="545"/>
      <c r="V229" s="1103"/>
      <c r="W229" s="1103"/>
      <c r="X229" s="1060"/>
      <c r="Y229" s="1095" t="e">
        <f t="shared" si="96"/>
        <v>#VALUE!</v>
      </c>
      <c r="Z229" s="1094">
        <f>tab!$B$50</f>
        <v>0.6</v>
      </c>
      <c r="AA229" s="1126" t="e">
        <f t="shared" si="97"/>
        <v>#VALUE!</v>
      </c>
      <c r="AB229" s="1126" t="e">
        <f t="shared" si="98"/>
        <v>#VALUE!</v>
      </c>
      <c r="AC229" s="1126" t="e">
        <f t="shared" si="99"/>
        <v>#VALUE!</v>
      </c>
      <c r="AD229" s="1128" t="e">
        <f t="shared" si="100"/>
        <v>#VALUE!</v>
      </c>
      <c r="AE229" s="1128">
        <f t="shared" si="101"/>
        <v>0</v>
      </c>
      <c r="AF229" s="1096">
        <f>IF(H229&gt;8,tab!$B$51,tab!$B$54)</f>
        <v>0.5</v>
      </c>
      <c r="AG229" s="1097">
        <f t="shared" si="102"/>
        <v>0</v>
      </c>
      <c r="AH229" s="1093">
        <f t="shared" si="103"/>
        <v>0</v>
      </c>
      <c r="AI229" s="1120" t="e">
        <f>DATE(YEAR(tab!$F$3),MONTH(G229),DAY(G229))&gt;tab!$F$3</f>
        <v>#VALUE!</v>
      </c>
      <c r="AJ229" s="1097" t="e">
        <f t="shared" si="104"/>
        <v>#VALUE!</v>
      </c>
      <c r="AK229" s="1041">
        <f t="shared" si="105"/>
        <v>30</v>
      </c>
      <c r="AL229" s="1041">
        <f t="shared" si="106"/>
        <v>30</v>
      </c>
      <c r="AM229" s="1047">
        <f t="shared" si="107"/>
        <v>0</v>
      </c>
      <c r="AS229" s="727"/>
    </row>
    <row r="230" spans="3:45" ht="12.75" customHeight="1" x14ac:dyDescent="0.3">
      <c r="C230" s="122"/>
      <c r="D230" s="388" t="str">
        <f>IF(op!D163=0,"",op!D163)</f>
        <v/>
      </c>
      <c r="E230" s="388" t="str">
        <f>IF(op!E163=0,"",op!E163)</f>
        <v/>
      </c>
      <c r="F230" s="684" t="str">
        <f>IF(op!F163="","",op!F163+1)</f>
        <v/>
      </c>
      <c r="G230" s="710" t="str">
        <f>IF(op!G163="","",op!G163)</f>
        <v/>
      </c>
      <c r="H230" s="684" t="str">
        <f>IF(op!H163=0,"",op!H163)</f>
        <v/>
      </c>
      <c r="I230" s="389" t="str">
        <f>IF(J230="","",(IF(op!I163+1&gt;LOOKUP(H230,schaal2019,regels2019),op!I163,op!I163+1)))</f>
        <v/>
      </c>
      <c r="J230" s="711" t="str">
        <f>IF(op!J163="","",op!J163)</f>
        <v/>
      </c>
      <c r="K230" s="472"/>
      <c r="L230" s="1049">
        <f>IF(op!L163="","",op!L163)</f>
        <v>0</v>
      </c>
      <c r="M230" s="1049">
        <f>IF(op!M163="","",op!M163)</f>
        <v>0</v>
      </c>
      <c r="N230" s="1051" t="str">
        <f t="shared" si="91"/>
        <v/>
      </c>
      <c r="O230" s="1051" t="str">
        <f t="shared" si="92"/>
        <v/>
      </c>
      <c r="P230" s="1125" t="str">
        <f t="shared" si="93"/>
        <v/>
      </c>
      <c r="Q230" s="472"/>
      <c r="R230" s="923" t="str">
        <f t="shared" si="108"/>
        <v/>
      </c>
      <c r="S230" s="923" t="str">
        <f t="shared" si="94"/>
        <v/>
      </c>
      <c r="T230" s="925" t="str">
        <f t="shared" si="95"/>
        <v/>
      </c>
      <c r="U230" s="545"/>
      <c r="V230" s="1103"/>
      <c r="W230" s="1103"/>
      <c r="X230" s="1060"/>
      <c r="Y230" s="1095" t="e">
        <f t="shared" si="96"/>
        <v>#VALUE!</v>
      </c>
      <c r="Z230" s="1094">
        <f>tab!$B$50</f>
        <v>0.6</v>
      </c>
      <c r="AA230" s="1126" t="e">
        <f t="shared" si="97"/>
        <v>#VALUE!</v>
      </c>
      <c r="AB230" s="1126" t="e">
        <f t="shared" si="98"/>
        <v>#VALUE!</v>
      </c>
      <c r="AC230" s="1126" t="e">
        <f t="shared" si="99"/>
        <v>#VALUE!</v>
      </c>
      <c r="AD230" s="1128" t="e">
        <f t="shared" si="100"/>
        <v>#VALUE!</v>
      </c>
      <c r="AE230" s="1128">
        <f t="shared" si="101"/>
        <v>0</v>
      </c>
      <c r="AF230" s="1096">
        <f>IF(H230&gt;8,tab!$B$51,tab!$B$54)</f>
        <v>0.5</v>
      </c>
      <c r="AG230" s="1097">
        <f t="shared" si="102"/>
        <v>0</v>
      </c>
      <c r="AH230" s="1093">
        <f t="shared" si="103"/>
        <v>0</v>
      </c>
      <c r="AI230" s="1120" t="e">
        <f>DATE(YEAR(tab!$F$3),MONTH(G230),DAY(G230))&gt;tab!$F$3</f>
        <v>#VALUE!</v>
      </c>
      <c r="AJ230" s="1097" t="e">
        <f t="shared" si="104"/>
        <v>#VALUE!</v>
      </c>
      <c r="AK230" s="1041">
        <f t="shared" si="105"/>
        <v>30</v>
      </c>
      <c r="AL230" s="1041">
        <f t="shared" si="106"/>
        <v>30</v>
      </c>
      <c r="AM230" s="1047">
        <f t="shared" si="107"/>
        <v>0</v>
      </c>
      <c r="AS230" s="727"/>
    </row>
    <row r="231" spans="3:45" ht="12.75" customHeight="1" x14ac:dyDescent="0.3">
      <c r="C231" s="122"/>
      <c r="D231" s="388" t="str">
        <f>IF(op!D164=0,"",op!D164)</f>
        <v/>
      </c>
      <c r="E231" s="388" t="str">
        <f>IF(op!E164=0,"",op!E164)</f>
        <v/>
      </c>
      <c r="F231" s="684" t="str">
        <f>IF(op!F164="","",op!F164+1)</f>
        <v/>
      </c>
      <c r="G231" s="710" t="str">
        <f>IF(op!G164="","",op!G164)</f>
        <v/>
      </c>
      <c r="H231" s="684" t="str">
        <f>IF(op!H164=0,"",op!H164)</f>
        <v/>
      </c>
      <c r="I231" s="389" t="str">
        <f>IF(J231="","",(IF(op!I164+1&gt;LOOKUP(H231,schaal2019,regels2019),op!I164,op!I164+1)))</f>
        <v/>
      </c>
      <c r="J231" s="711" t="str">
        <f>IF(op!J164="","",op!J164)</f>
        <v/>
      </c>
      <c r="K231" s="472"/>
      <c r="L231" s="1049">
        <f>IF(op!L164="","",op!L164)</f>
        <v>0</v>
      </c>
      <c r="M231" s="1049">
        <f>IF(op!M164="","",op!M164)</f>
        <v>0</v>
      </c>
      <c r="N231" s="1051" t="str">
        <f t="shared" si="91"/>
        <v/>
      </c>
      <c r="O231" s="1051" t="str">
        <f t="shared" si="92"/>
        <v/>
      </c>
      <c r="P231" s="1125" t="str">
        <f t="shared" si="93"/>
        <v/>
      </c>
      <c r="Q231" s="472"/>
      <c r="R231" s="923" t="str">
        <f t="shared" si="108"/>
        <v/>
      </c>
      <c r="S231" s="923" t="str">
        <f t="shared" si="94"/>
        <v/>
      </c>
      <c r="T231" s="925" t="str">
        <f t="shared" si="95"/>
        <v/>
      </c>
      <c r="U231" s="545"/>
      <c r="V231" s="1103"/>
      <c r="W231" s="1103"/>
      <c r="X231" s="1060"/>
      <c r="Y231" s="1095" t="e">
        <f t="shared" si="96"/>
        <v>#VALUE!</v>
      </c>
      <c r="Z231" s="1094">
        <f>tab!$B$50</f>
        <v>0.6</v>
      </c>
      <c r="AA231" s="1126" t="e">
        <f t="shared" si="97"/>
        <v>#VALUE!</v>
      </c>
      <c r="AB231" s="1126" t="e">
        <f t="shared" si="98"/>
        <v>#VALUE!</v>
      </c>
      <c r="AC231" s="1126" t="e">
        <f t="shared" si="99"/>
        <v>#VALUE!</v>
      </c>
      <c r="AD231" s="1128" t="e">
        <f t="shared" si="100"/>
        <v>#VALUE!</v>
      </c>
      <c r="AE231" s="1128">
        <f t="shared" si="101"/>
        <v>0</v>
      </c>
      <c r="AF231" s="1096">
        <f>IF(H231&gt;8,tab!$B$51,tab!$B$54)</f>
        <v>0.5</v>
      </c>
      <c r="AG231" s="1097">
        <f t="shared" si="102"/>
        <v>0</v>
      </c>
      <c r="AH231" s="1093">
        <f t="shared" si="103"/>
        <v>0</v>
      </c>
      <c r="AI231" s="1120" t="e">
        <f>DATE(YEAR(tab!$F$3),MONTH(G231),DAY(G231))&gt;tab!$F$3</f>
        <v>#VALUE!</v>
      </c>
      <c r="AJ231" s="1097" t="e">
        <f t="shared" si="104"/>
        <v>#VALUE!</v>
      </c>
      <c r="AK231" s="1041">
        <f t="shared" si="105"/>
        <v>30</v>
      </c>
      <c r="AL231" s="1041">
        <f t="shared" si="106"/>
        <v>30</v>
      </c>
      <c r="AM231" s="1047">
        <f t="shared" si="107"/>
        <v>0</v>
      </c>
      <c r="AS231" s="727"/>
    </row>
    <row r="232" spans="3:45" ht="12.75" customHeight="1" x14ac:dyDescent="0.3">
      <c r="C232" s="122"/>
      <c r="D232" s="388" t="str">
        <f>IF(op!D165=0,"",op!D165)</f>
        <v/>
      </c>
      <c r="E232" s="388" t="str">
        <f>IF(op!E165=0,"",op!E165)</f>
        <v/>
      </c>
      <c r="F232" s="684" t="str">
        <f>IF(op!F165="","",op!F165+1)</f>
        <v/>
      </c>
      <c r="G232" s="710" t="str">
        <f>IF(op!G165="","",op!G165)</f>
        <v/>
      </c>
      <c r="H232" s="684" t="str">
        <f>IF(op!H165=0,"",op!H165)</f>
        <v/>
      </c>
      <c r="I232" s="389" t="str">
        <f>IF(J232="","",(IF(op!I165+1&gt;LOOKUP(H232,schaal2019,regels2019),op!I165,op!I165+1)))</f>
        <v/>
      </c>
      <c r="J232" s="711" t="str">
        <f>IF(op!J165="","",op!J165)</f>
        <v/>
      </c>
      <c r="K232" s="472"/>
      <c r="L232" s="1049">
        <f>IF(op!L165="","",op!L165)</f>
        <v>0</v>
      </c>
      <c r="M232" s="1049">
        <f>IF(op!M165="","",op!M165)</f>
        <v>0</v>
      </c>
      <c r="N232" s="1051" t="str">
        <f t="shared" si="91"/>
        <v/>
      </c>
      <c r="O232" s="1051" t="str">
        <f t="shared" si="92"/>
        <v/>
      </c>
      <c r="P232" s="1125" t="str">
        <f t="shared" si="93"/>
        <v/>
      </c>
      <c r="Q232" s="472"/>
      <c r="R232" s="923" t="str">
        <f t="shared" si="108"/>
        <v/>
      </c>
      <c r="S232" s="923" t="str">
        <f t="shared" si="94"/>
        <v/>
      </c>
      <c r="T232" s="925" t="str">
        <f t="shared" si="95"/>
        <v/>
      </c>
      <c r="U232" s="545"/>
      <c r="V232" s="1103"/>
      <c r="W232" s="1103"/>
      <c r="X232" s="1060"/>
      <c r="Y232" s="1095" t="e">
        <f t="shared" si="96"/>
        <v>#VALUE!</v>
      </c>
      <c r="Z232" s="1094">
        <f>tab!$B$50</f>
        <v>0.6</v>
      </c>
      <c r="AA232" s="1126" t="e">
        <f t="shared" si="97"/>
        <v>#VALUE!</v>
      </c>
      <c r="AB232" s="1126" t="e">
        <f t="shared" si="98"/>
        <v>#VALUE!</v>
      </c>
      <c r="AC232" s="1126" t="e">
        <f t="shared" si="99"/>
        <v>#VALUE!</v>
      </c>
      <c r="AD232" s="1128" t="e">
        <f t="shared" si="100"/>
        <v>#VALUE!</v>
      </c>
      <c r="AE232" s="1128">
        <f t="shared" si="101"/>
        <v>0</v>
      </c>
      <c r="AF232" s="1096">
        <f>IF(H232&gt;8,tab!$B$51,tab!$B$54)</f>
        <v>0.5</v>
      </c>
      <c r="AG232" s="1097">
        <f t="shared" si="102"/>
        <v>0</v>
      </c>
      <c r="AH232" s="1093">
        <f t="shared" si="103"/>
        <v>0</v>
      </c>
      <c r="AI232" s="1120" t="e">
        <f>DATE(YEAR(tab!$F$3),MONTH(G232),DAY(G232))&gt;tab!$F$3</f>
        <v>#VALUE!</v>
      </c>
      <c r="AJ232" s="1097" t="e">
        <f t="shared" si="104"/>
        <v>#VALUE!</v>
      </c>
      <c r="AK232" s="1041">
        <f t="shared" si="105"/>
        <v>30</v>
      </c>
      <c r="AL232" s="1041">
        <f t="shared" si="106"/>
        <v>30</v>
      </c>
      <c r="AM232" s="1047">
        <f t="shared" si="107"/>
        <v>0</v>
      </c>
      <c r="AS232" s="727"/>
    </row>
    <row r="233" spans="3:45" ht="12.75" customHeight="1" x14ac:dyDescent="0.3">
      <c r="C233" s="122"/>
      <c r="D233" s="388" t="str">
        <f>IF(op!D166=0,"",op!D166)</f>
        <v/>
      </c>
      <c r="E233" s="388" t="str">
        <f>IF(op!E166=0,"",op!E166)</f>
        <v/>
      </c>
      <c r="F233" s="684" t="str">
        <f>IF(op!F166="","",op!F166+1)</f>
        <v/>
      </c>
      <c r="G233" s="710" t="str">
        <f>IF(op!G166="","",op!G166)</f>
        <v/>
      </c>
      <c r="H233" s="684" t="str">
        <f>IF(op!H166=0,"",op!H166)</f>
        <v/>
      </c>
      <c r="I233" s="389" t="str">
        <f>IF(J233="","",(IF(op!I166+1&gt;LOOKUP(H233,schaal2019,regels2019),op!I166,op!I166+1)))</f>
        <v/>
      </c>
      <c r="J233" s="711" t="str">
        <f>IF(op!J166="","",op!J166)</f>
        <v/>
      </c>
      <c r="K233" s="472"/>
      <c r="L233" s="1049">
        <f>IF(op!L166="","",op!L166)</f>
        <v>0</v>
      </c>
      <c r="M233" s="1049">
        <f>IF(op!M166="","",op!M166)</f>
        <v>0</v>
      </c>
      <c r="N233" s="1051" t="str">
        <f t="shared" si="91"/>
        <v/>
      </c>
      <c r="O233" s="1051" t="str">
        <f t="shared" si="92"/>
        <v/>
      </c>
      <c r="P233" s="1125" t="str">
        <f t="shared" si="93"/>
        <v/>
      </c>
      <c r="Q233" s="472"/>
      <c r="R233" s="923" t="str">
        <f t="shared" si="108"/>
        <v/>
      </c>
      <c r="S233" s="923" t="str">
        <f t="shared" si="94"/>
        <v/>
      </c>
      <c r="T233" s="925" t="str">
        <f t="shared" si="95"/>
        <v/>
      </c>
      <c r="U233" s="545"/>
      <c r="V233" s="1103"/>
      <c r="W233" s="1103"/>
      <c r="X233" s="1060"/>
      <c r="Y233" s="1095" t="e">
        <f t="shared" si="96"/>
        <v>#VALUE!</v>
      </c>
      <c r="Z233" s="1094">
        <f>tab!$B$50</f>
        <v>0.6</v>
      </c>
      <c r="AA233" s="1126" t="e">
        <f t="shared" si="97"/>
        <v>#VALUE!</v>
      </c>
      <c r="AB233" s="1126" t="e">
        <f t="shared" si="98"/>
        <v>#VALUE!</v>
      </c>
      <c r="AC233" s="1126" t="e">
        <f t="shared" si="99"/>
        <v>#VALUE!</v>
      </c>
      <c r="AD233" s="1128" t="e">
        <f t="shared" si="100"/>
        <v>#VALUE!</v>
      </c>
      <c r="AE233" s="1128">
        <f t="shared" si="101"/>
        <v>0</v>
      </c>
      <c r="AF233" s="1096">
        <f>IF(H233&gt;8,tab!$B$51,tab!$B$54)</f>
        <v>0.5</v>
      </c>
      <c r="AG233" s="1097">
        <f t="shared" si="102"/>
        <v>0</v>
      </c>
      <c r="AH233" s="1093">
        <f t="shared" si="103"/>
        <v>0</v>
      </c>
      <c r="AI233" s="1120" t="e">
        <f>DATE(YEAR(tab!$F$3),MONTH(G233),DAY(G233))&gt;tab!$F$3</f>
        <v>#VALUE!</v>
      </c>
      <c r="AJ233" s="1097" t="e">
        <f t="shared" si="104"/>
        <v>#VALUE!</v>
      </c>
      <c r="AK233" s="1041">
        <f t="shared" si="105"/>
        <v>30</v>
      </c>
      <c r="AL233" s="1041">
        <f t="shared" si="106"/>
        <v>30</v>
      </c>
      <c r="AM233" s="1047">
        <f t="shared" si="107"/>
        <v>0</v>
      </c>
      <c r="AS233" s="727"/>
    </row>
    <row r="234" spans="3:45" ht="12.75" customHeight="1" x14ac:dyDescent="0.3">
      <c r="C234" s="122"/>
      <c r="D234" s="388" t="str">
        <f>IF(op!D167=0,"",op!D167)</f>
        <v/>
      </c>
      <c r="E234" s="388" t="str">
        <f>IF(op!E167=0,"",op!E167)</f>
        <v/>
      </c>
      <c r="F234" s="684" t="str">
        <f>IF(op!F167="","",op!F167+1)</f>
        <v/>
      </c>
      <c r="G234" s="710" t="str">
        <f>IF(op!G167="","",op!G167)</f>
        <v/>
      </c>
      <c r="H234" s="684" t="str">
        <f>IF(op!H167=0,"",op!H167)</f>
        <v/>
      </c>
      <c r="I234" s="389" t="str">
        <f>IF(J234="","",(IF(op!I167+1&gt;LOOKUP(H234,schaal2019,regels2019),op!I167,op!I167+1)))</f>
        <v/>
      </c>
      <c r="J234" s="711" t="str">
        <f>IF(op!J167="","",op!J167)</f>
        <v/>
      </c>
      <c r="K234" s="472"/>
      <c r="L234" s="1049">
        <f>IF(op!L167="","",op!L167)</f>
        <v>0</v>
      </c>
      <c r="M234" s="1049">
        <f>IF(op!M167="","",op!M167)</f>
        <v>0</v>
      </c>
      <c r="N234" s="1051" t="str">
        <f t="shared" si="91"/>
        <v/>
      </c>
      <c r="O234" s="1051" t="str">
        <f t="shared" si="92"/>
        <v/>
      </c>
      <c r="P234" s="1125" t="str">
        <f t="shared" si="93"/>
        <v/>
      </c>
      <c r="Q234" s="472"/>
      <c r="R234" s="923" t="str">
        <f t="shared" si="108"/>
        <v/>
      </c>
      <c r="S234" s="923" t="str">
        <f t="shared" si="94"/>
        <v/>
      </c>
      <c r="T234" s="925" t="str">
        <f t="shared" si="95"/>
        <v/>
      </c>
      <c r="U234" s="545"/>
      <c r="V234" s="1103"/>
      <c r="W234" s="1103"/>
      <c r="X234" s="1060"/>
      <c r="Y234" s="1095" t="e">
        <f t="shared" si="96"/>
        <v>#VALUE!</v>
      </c>
      <c r="Z234" s="1094">
        <f>tab!$B$50</f>
        <v>0.6</v>
      </c>
      <c r="AA234" s="1126" t="e">
        <f t="shared" si="97"/>
        <v>#VALUE!</v>
      </c>
      <c r="AB234" s="1126" t="e">
        <f t="shared" si="98"/>
        <v>#VALUE!</v>
      </c>
      <c r="AC234" s="1126" t="e">
        <f t="shared" si="99"/>
        <v>#VALUE!</v>
      </c>
      <c r="AD234" s="1128" t="e">
        <f t="shared" si="100"/>
        <v>#VALUE!</v>
      </c>
      <c r="AE234" s="1128">
        <f t="shared" si="101"/>
        <v>0</v>
      </c>
      <c r="AF234" s="1096">
        <f>IF(H234&gt;8,tab!$B$51,tab!$B$54)</f>
        <v>0.5</v>
      </c>
      <c r="AG234" s="1097">
        <f t="shared" si="102"/>
        <v>0</v>
      </c>
      <c r="AH234" s="1093">
        <f t="shared" si="103"/>
        <v>0</v>
      </c>
      <c r="AI234" s="1120" t="e">
        <f>DATE(YEAR(tab!$F$3),MONTH(G234),DAY(G234))&gt;tab!$F$3</f>
        <v>#VALUE!</v>
      </c>
      <c r="AJ234" s="1097" t="e">
        <f t="shared" si="104"/>
        <v>#VALUE!</v>
      </c>
      <c r="AK234" s="1041">
        <f t="shared" si="105"/>
        <v>30</v>
      </c>
      <c r="AL234" s="1041">
        <f t="shared" si="106"/>
        <v>30</v>
      </c>
      <c r="AM234" s="1047">
        <f t="shared" si="107"/>
        <v>0</v>
      </c>
      <c r="AS234" s="727"/>
    </row>
    <row r="235" spans="3:45" ht="12.75" customHeight="1" x14ac:dyDescent="0.3">
      <c r="C235" s="122"/>
      <c r="D235" s="388" t="str">
        <f>IF(op!D168=0,"",op!D168)</f>
        <v/>
      </c>
      <c r="E235" s="388" t="str">
        <f>IF(op!E168=0,"",op!E168)</f>
        <v/>
      </c>
      <c r="F235" s="684" t="str">
        <f>IF(op!F168="","",op!F168+1)</f>
        <v/>
      </c>
      <c r="G235" s="710" t="str">
        <f>IF(op!G168="","",op!G168)</f>
        <v/>
      </c>
      <c r="H235" s="684" t="str">
        <f>IF(op!H168=0,"",op!H168)</f>
        <v/>
      </c>
      <c r="I235" s="389" t="str">
        <f>IF(J235="","",(IF(op!I168+1&gt;LOOKUP(H235,schaal2019,regels2019),op!I168,op!I168+1)))</f>
        <v/>
      </c>
      <c r="J235" s="711" t="str">
        <f>IF(op!J168="","",op!J168)</f>
        <v/>
      </c>
      <c r="K235" s="472"/>
      <c r="L235" s="1049">
        <f>IF(op!L168="","",op!L168)</f>
        <v>0</v>
      </c>
      <c r="M235" s="1049">
        <f>IF(op!M168="","",op!M168)</f>
        <v>0</v>
      </c>
      <c r="N235" s="1051" t="str">
        <f t="shared" si="91"/>
        <v/>
      </c>
      <c r="O235" s="1051" t="str">
        <f t="shared" si="92"/>
        <v/>
      </c>
      <c r="P235" s="1125" t="str">
        <f t="shared" si="93"/>
        <v/>
      </c>
      <c r="Q235" s="472"/>
      <c r="R235" s="923" t="str">
        <f t="shared" si="108"/>
        <v/>
      </c>
      <c r="S235" s="923" t="str">
        <f t="shared" si="94"/>
        <v/>
      </c>
      <c r="T235" s="925" t="str">
        <f t="shared" si="95"/>
        <v/>
      </c>
      <c r="U235" s="545"/>
      <c r="V235" s="1103"/>
      <c r="W235" s="1103"/>
      <c r="X235" s="1060"/>
      <c r="Y235" s="1095" t="e">
        <f t="shared" si="96"/>
        <v>#VALUE!</v>
      </c>
      <c r="Z235" s="1094">
        <f>tab!$B$50</f>
        <v>0.6</v>
      </c>
      <c r="AA235" s="1126" t="e">
        <f t="shared" si="97"/>
        <v>#VALUE!</v>
      </c>
      <c r="AB235" s="1126" t="e">
        <f t="shared" si="98"/>
        <v>#VALUE!</v>
      </c>
      <c r="AC235" s="1126" t="e">
        <f t="shared" si="99"/>
        <v>#VALUE!</v>
      </c>
      <c r="AD235" s="1128" t="e">
        <f t="shared" si="100"/>
        <v>#VALUE!</v>
      </c>
      <c r="AE235" s="1128">
        <f t="shared" si="101"/>
        <v>0</v>
      </c>
      <c r="AF235" s="1096">
        <f>IF(H235&gt;8,tab!$B$51,tab!$B$54)</f>
        <v>0.5</v>
      </c>
      <c r="AG235" s="1097">
        <f t="shared" si="102"/>
        <v>0</v>
      </c>
      <c r="AH235" s="1093">
        <f t="shared" si="103"/>
        <v>0</v>
      </c>
      <c r="AI235" s="1120" t="e">
        <f>DATE(YEAR(tab!$F$3),MONTH(G235),DAY(G235))&gt;tab!$F$3</f>
        <v>#VALUE!</v>
      </c>
      <c r="AJ235" s="1097" t="e">
        <f t="shared" si="104"/>
        <v>#VALUE!</v>
      </c>
      <c r="AK235" s="1041">
        <f t="shared" si="105"/>
        <v>30</v>
      </c>
      <c r="AL235" s="1041">
        <f t="shared" si="106"/>
        <v>30</v>
      </c>
      <c r="AM235" s="1047">
        <f t="shared" si="107"/>
        <v>0</v>
      </c>
      <c r="AS235" s="727"/>
    </row>
    <row r="236" spans="3:45" ht="12.75" customHeight="1" x14ac:dyDescent="0.3">
      <c r="C236" s="122"/>
      <c r="D236" s="388" t="str">
        <f>IF(op!D169=0,"",op!D169)</f>
        <v/>
      </c>
      <c r="E236" s="388" t="str">
        <f>IF(op!E169=0,"",op!E169)</f>
        <v/>
      </c>
      <c r="F236" s="684" t="str">
        <f>IF(op!F169="","",op!F169+1)</f>
        <v/>
      </c>
      <c r="G236" s="710" t="str">
        <f>IF(op!G169="","",op!G169)</f>
        <v/>
      </c>
      <c r="H236" s="684" t="str">
        <f>IF(op!H169=0,"",op!H169)</f>
        <v/>
      </c>
      <c r="I236" s="389" t="str">
        <f>IF(J236="","",(IF(op!I169+1&gt;LOOKUP(H236,schaal2019,regels2019),op!I169,op!I169+1)))</f>
        <v/>
      </c>
      <c r="J236" s="711" t="str">
        <f>IF(op!J169="","",op!J169)</f>
        <v/>
      </c>
      <c r="K236" s="472"/>
      <c r="L236" s="1049">
        <f>IF(op!L169="","",op!L169)</f>
        <v>0</v>
      </c>
      <c r="M236" s="1049">
        <f>IF(op!M169="","",op!M169)</f>
        <v>0</v>
      </c>
      <c r="N236" s="1051" t="str">
        <f t="shared" si="91"/>
        <v/>
      </c>
      <c r="O236" s="1051" t="str">
        <f t="shared" si="92"/>
        <v/>
      </c>
      <c r="P236" s="1125" t="str">
        <f t="shared" si="93"/>
        <v/>
      </c>
      <c r="Q236" s="472"/>
      <c r="R236" s="923" t="str">
        <f t="shared" si="108"/>
        <v/>
      </c>
      <c r="S236" s="923" t="str">
        <f t="shared" si="94"/>
        <v/>
      </c>
      <c r="T236" s="925" t="str">
        <f t="shared" si="95"/>
        <v/>
      </c>
      <c r="U236" s="545"/>
      <c r="V236" s="1103"/>
      <c r="W236" s="1103"/>
      <c r="X236" s="1060"/>
      <c r="Y236" s="1095" t="e">
        <f t="shared" si="96"/>
        <v>#VALUE!</v>
      </c>
      <c r="Z236" s="1094">
        <f>tab!$B$50</f>
        <v>0.6</v>
      </c>
      <c r="AA236" s="1126" t="e">
        <f t="shared" si="97"/>
        <v>#VALUE!</v>
      </c>
      <c r="AB236" s="1126" t="e">
        <f t="shared" si="98"/>
        <v>#VALUE!</v>
      </c>
      <c r="AC236" s="1126" t="e">
        <f t="shared" si="99"/>
        <v>#VALUE!</v>
      </c>
      <c r="AD236" s="1128" t="e">
        <f t="shared" si="100"/>
        <v>#VALUE!</v>
      </c>
      <c r="AE236" s="1128">
        <f t="shared" si="101"/>
        <v>0</v>
      </c>
      <c r="AF236" s="1096">
        <f>IF(H236&gt;8,tab!$B$51,tab!$B$54)</f>
        <v>0.5</v>
      </c>
      <c r="AG236" s="1097">
        <f t="shared" si="102"/>
        <v>0</v>
      </c>
      <c r="AH236" s="1093">
        <f t="shared" si="103"/>
        <v>0</v>
      </c>
      <c r="AI236" s="1120" t="e">
        <f>DATE(YEAR(tab!$F$3),MONTH(G236),DAY(G236))&gt;tab!$F$3</f>
        <v>#VALUE!</v>
      </c>
      <c r="AJ236" s="1097" t="e">
        <f t="shared" si="104"/>
        <v>#VALUE!</v>
      </c>
      <c r="AK236" s="1041">
        <f t="shared" si="105"/>
        <v>30</v>
      </c>
      <c r="AL236" s="1041">
        <f t="shared" si="106"/>
        <v>30</v>
      </c>
      <c r="AM236" s="1047">
        <f t="shared" si="107"/>
        <v>0</v>
      </c>
      <c r="AS236" s="727"/>
    </row>
    <row r="237" spans="3:45" ht="12.75" customHeight="1" x14ac:dyDescent="0.3">
      <c r="C237" s="122"/>
      <c r="D237" s="388" t="str">
        <f>IF(op!D170=0,"",op!D170)</f>
        <v/>
      </c>
      <c r="E237" s="388" t="str">
        <f>IF(op!E170=0,"",op!E170)</f>
        <v/>
      </c>
      <c r="F237" s="684" t="str">
        <f>IF(op!F170="","",op!F170+1)</f>
        <v/>
      </c>
      <c r="G237" s="710" t="str">
        <f>IF(op!G170="","",op!G170)</f>
        <v/>
      </c>
      <c r="H237" s="684" t="str">
        <f>IF(op!H170=0,"",op!H170)</f>
        <v/>
      </c>
      <c r="I237" s="389" t="str">
        <f>IF(J237="","",(IF(op!I170+1&gt;LOOKUP(H237,schaal2019,regels2019),op!I170,op!I170+1)))</f>
        <v/>
      </c>
      <c r="J237" s="711" t="str">
        <f>IF(op!J170="","",op!J170)</f>
        <v/>
      </c>
      <c r="K237" s="472"/>
      <c r="L237" s="1049">
        <f>IF(op!L170="","",op!L170)</f>
        <v>0</v>
      </c>
      <c r="M237" s="1049">
        <f>IF(op!M170="","",op!M170)</f>
        <v>0</v>
      </c>
      <c r="N237" s="1051" t="str">
        <f t="shared" si="91"/>
        <v/>
      </c>
      <c r="O237" s="1051" t="str">
        <f t="shared" si="92"/>
        <v/>
      </c>
      <c r="P237" s="1125" t="str">
        <f t="shared" si="93"/>
        <v/>
      </c>
      <c r="Q237" s="472"/>
      <c r="R237" s="923" t="str">
        <f t="shared" si="108"/>
        <v/>
      </c>
      <c r="S237" s="923" t="str">
        <f t="shared" si="94"/>
        <v/>
      </c>
      <c r="T237" s="925" t="str">
        <f t="shared" si="95"/>
        <v/>
      </c>
      <c r="U237" s="545"/>
      <c r="V237" s="1103"/>
      <c r="W237" s="1103"/>
      <c r="X237" s="1060"/>
      <c r="Y237" s="1095" t="e">
        <f t="shared" si="96"/>
        <v>#VALUE!</v>
      </c>
      <c r="Z237" s="1094">
        <f>tab!$B$50</f>
        <v>0.6</v>
      </c>
      <c r="AA237" s="1126" t="e">
        <f t="shared" si="97"/>
        <v>#VALUE!</v>
      </c>
      <c r="AB237" s="1126" t="e">
        <f t="shared" si="98"/>
        <v>#VALUE!</v>
      </c>
      <c r="AC237" s="1126" t="e">
        <f t="shared" si="99"/>
        <v>#VALUE!</v>
      </c>
      <c r="AD237" s="1128" t="e">
        <f t="shared" si="100"/>
        <v>#VALUE!</v>
      </c>
      <c r="AE237" s="1128">
        <f t="shared" si="101"/>
        <v>0</v>
      </c>
      <c r="AF237" s="1096">
        <f>IF(H237&gt;8,tab!$B$51,tab!$B$54)</f>
        <v>0.5</v>
      </c>
      <c r="AG237" s="1097">
        <f t="shared" si="102"/>
        <v>0</v>
      </c>
      <c r="AH237" s="1093">
        <f t="shared" si="103"/>
        <v>0</v>
      </c>
      <c r="AI237" s="1120" t="e">
        <f>DATE(YEAR(tab!$F$3),MONTH(G237),DAY(G237))&gt;tab!$F$3</f>
        <v>#VALUE!</v>
      </c>
      <c r="AJ237" s="1097" t="e">
        <f t="shared" si="104"/>
        <v>#VALUE!</v>
      </c>
      <c r="AK237" s="1041">
        <f t="shared" si="105"/>
        <v>30</v>
      </c>
      <c r="AL237" s="1041">
        <f t="shared" si="106"/>
        <v>30</v>
      </c>
      <c r="AM237" s="1047">
        <f t="shared" si="107"/>
        <v>0</v>
      </c>
      <c r="AS237" s="727"/>
    </row>
    <row r="238" spans="3:45" ht="12.75" customHeight="1" x14ac:dyDescent="0.3">
      <c r="C238" s="122"/>
      <c r="D238" s="388" t="str">
        <f>IF(op!D171=0,"",op!D171)</f>
        <v/>
      </c>
      <c r="E238" s="388" t="str">
        <f>IF(op!E171=0,"",op!E171)</f>
        <v/>
      </c>
      <c r="F238" s="684" t="str">
        <f>IF(op!F171="","",op!F171+1)</f>
        <v/>
      </c>
      <c r="G238" s="710" t="str">
        <f>IF(op!G171="","",op!G171)</f>
        <v/>
      </c>
      <c r="H238" s="684" t="str">
        <f>IF(op!H171=0,"",op!H171)</f>
        <v/>
      </c>
      <c r="I238" s="389" t="str">
        <f>IF(J238="","",(IF(op!I171+1&gt;LOOKUP(H238,schaal2019,regels2019),op!I171,op!I171+1)))</f>
        <v/>
      </c>
      <c r="J238" s="711" t="str">
        <f>IF(op!J171="","",op!J171)</f>
        <v/>
      </c>
      <c r="K238" s="472"/>
      <c r="L238" s="1049">
        <f>IF(op!L171="","",op!L171)</f>
        <v>0</v>
      </c>
      <c r="M238" s="1049">
        <f>IF(op!M171="","",op!M171)</f>
        <v>0</v>
      </c>
      <c r="N238" s="1051" t="str">
        <f t="shared" si="91"/>
        <v/>
      </c>
      <c r="O238" s="1051" t="str">
        <f t="shared" si="92"/>
        <v/>
      </c>
      <c r="P238" s="1125" t="str">
        <f t="shared" si="93"/>
        <v/>
      </c>
      <c r="Q238" s="472"/>
      <c r="R238" s="923" t="str">
        <f t="shared" si="108"/>
        <v/>
      </c>
      <c r="S238" s="923" t="str">
        <f t="shared" si="94"/>
        <v/>
      </c>
      <c r="T238" s="925" t="str">
        <f t="shared" si="95"/>
        <v/>
      </c>
      <c r="U238" s="545"/>
      <c r="V238" s="1103"/>
      <c r="W238" s="1103"/>
      <c r="X238" s="1060"/>
      <c r="Y238" s="1095" t="e">
        <f t="shared" si="96"/>
        <v>#VALUE!</v>
      </c>
      <c r="Z238" s="1094">
        <f>tab!$B$50</f>
        <v>0.6</v>
      </c>
      <c r="AA238" s="1126" t="e">
        <f t="shared" si="97"/>
        <v>#VALUE!</v>
      </c>
      <c r="AB238" s="1126" t="e">
        <f t="shared" si="98"/>
        <v>#VALUE!</v>
      </c>
      <c r="AC238" s="1126" t="e">
        <f t="shared" si="99"/>
        <v>#VALUE!</v>
      </c>
      <c r="AD238" s="1128" t="e">
        <f t="shared" si="100"/>
        <v>#VALUE!</v>
      </c>
      <c r="AE238" s="1128">
        <f t="shared" si="101"/>
        <v>0</v>
      </c>
      <c r="AF238" s="1096">
        <f>IF(H238&gt;8,tab!$B$51,tab!$B$54)</f>
        <v>0.5</v>
      </c>
      <c r="AG238" s="1097">
        <f t="shared" si="102"/>
        <v>0</v>
      </c>
      <c r="AH238" s="1093">
        <f t="shared" si="103"/>
        <v>0</v>
      </c>
      <c r="AI238" s="1120" t="e">
        <f>DATE(YEAR(tab!$F$3),MONTH(G238),DAY(G238))&gt;tab!$F$3</f>
        <v>#VALUE!</v>
      </c>
      <c r="AJ238" s="1097" t="e">
        <f t="shared" si="104"/>
        <v>#VALUE!</v>
      </c>
      <c r="AK238" s="1041">
        <f t="shared" si="105"/>
        <v>30</v>
      </c>
      <c r="AL238" s="1041">
        <f t="shared" si="106"/>
        <v>30</v>
      </c>
      <c r="AM238" s="1047">
        <f t="shared" si="107"/>
        <v>0</v>
      </c>
      <c r="AS238" s="727"/>
    </row>
    <row r="239" spans="3:45" ht="12.75" customHeight="1" x14ac:dyDescent="0.3">
      <c r="C239" s="122"/>
      <c r="D239" s="388" t="str">
        <f>IF(op!D172=0,"",op!D172)</f>
        <v/>
      </c>
      <c r="E239" s="388" t="str">
        <f>IF(op!E172=0,"",op!E172)</f>
        <v/>
      </c>
      <c r="F239" s="684" t="str">
        <f>IF(op!F172="","",op!F172+1)</f>
        <v/>
      </c>
      <c r="G239" s="710" t="str">
        <f>IF(op!G172="","",op!G172)</f>
        <v/>
      </c>
      <c r="H239" s="684" t="str">
        <f>IF(op!H172=0,"",op!H172)</f>
        <v/>
      </c>
      <c r="I239" s="389" t="str">
        <f>IF(J239="","",(IF(op!I172+1&gt;LOOKUP(H239,schaal2019,regels2019),op!I172,op!I172+1)))</f>
        <v/>
      </c>
      <c r="J239" s="711" t="str">
        <f>IF(op!J172="","",op!J172)</f>
        <v/>
      </c>
      <c r="K239" s="472"/>
      <c r="L239" s="1049">
        <f>IF(op!L172="","",op!L172)</f>
        <v>0</v>
      </c>
      <c r="M239" s="1049">
        <f>IF(op!M172="","",op!M172)</f>
        <v>0</v>
      </c>
      <c r="N239" s="1051" t="str">
        <f t="shared" si="91"/>
        <v/>
      </c>
      <c r="O239" s="1051" t="str">
        <f t="shared" si="92"/>
        <v/>
      </c>
      <c r="P239" s="1125" t="str">
        <f t="shared" si="93"/>
        <v/>
      </c>
      <c r="Q239" s="472"/>
      <c r="R239" s="923" t="str">
        <f t="shared" si="108"/>
        <v/>
      </c>
      <c r="S239" s="923" t="str">
        <f t="shared" si="94"/>
        <v/>
      </c>
      <c r="T239" s="925" t="str">
        <f t="shared" si="95"/>
        <v/>
      </c>
      <c r="U239" s="545"/>
      <c r="V239" s="1103"/>
      <c r="W239" s="1103"/>
      <c r="X239" s="1060"/>
      <c r="Y239" s="1095" t="e">
        <f t="shared" si="96"/>
        <v>#VALUE!</v>
      </c>
      <c r="Z239" s="1094">
        <f>tab!$B$50</f>
        <v>0.6</v>
      </c>
      <c r="AA239" s="1126" t="e">
        <f t="shared" si="97"/>
        <v>#VALUE!</v>
      </c>
      <c r="AB239" s="1126" t="e">
        <f t="shared" si="98"/>
        <v>#VALUE!</v>
      </c>
      <c r="AC239" s="1126" t="e">
        <f t="shared" si="99"/>
        <v>#VALUE!</v>
      </c>
      <c r="AD239" s="1128" t="e">
        <f t="shared" si="100"/>
        <v>#VALUE!</v>
      </c>
      <c r="AE239" s="1128">
        <f t="shared" si="101"/>
        <v>0</v>
      </c>
      <c r="AF239" s="1096">
        <f>IF(H239&gt;8,tab!$B$51,tab!$B$54)</f>
        <v>0.5</v>
      </c>
      <c r="AG239" s="1097">
        <f t="shared" si="102"/>
        <v>0</v>
      </c>
      <c r="AH239" s="1093">
        <f t="shared" si="103"/>
        <v>0</v>
      </c>
      <c r="AI239" s="1120" t="e">
        <f>DATE(YEAR(tab!$F$3),MONTH(G239),DAY(G239))&gt;tab!$F$3</f>
        <v>#VALUE!</v>
      </c>
      <c r="AJ239" s="1097" t="e">
        <f t="shared" si="104"/>
        <v>#VALUE!</v>
      </c>
      <c r="AK239" s="1041">
        <f t="shared" si="105"/>
        <v>30</v>
      </c>
      <c r="AL239" s="1041">
        <f t="shared" si="106"/>
        <v>30</v>
      </c>
      <c r="AM239" s="1047">
        <f t="shared" si="107"/>
        <v>0</v>
      </c>
      <c r="AS239" s="727"/>
    </row>
    <row r="240" spans="3:45" ht="12.75" customHeight="1" x14ac:dyDescent="0.3">
      <c r="C240" s="122"/>
      <c r="D240" s="388" t="str">
        <f>IF(op!D173=0,"",op!D173)</f>
        <v/>
      </c>
      <c r="E240" s="388" t="str">
        <f>IF(op!E173=0,"",op!E173)</f>
        <v/>
      </c>
      <c r="F240" s="684" t="str">
        <f>IF(op!F173="","",op!F173+1)</f>
        <v/>
      </c>
      <c r="G240" s="710" t="str">
        <f>IF(op!G173="","",op!G173)</f>
        <v/>
      </c>
      <c r="H240" s="684" t="str">
        <f>IF(op!H173=0,"",op!H173)</f>
        <v/>
      </c>
      <c r="I240" s="389" t="str">
        <f>IF(J240="","",(IF(op!I173+1&gt;LOOKUP(H240,schaal2019,regels2019),op!I173,op!I173+1)))</f>
        <v/>
      </c>
      <c r="J240" s="711" t="str">
        <f>IF(op!J173="","",op!J173)</f>
        <v/>
      </c>
      <c r="K240" s="472"/>
      <c r="L240" s="1049">
        <f>IF(op!L173="","",op!L173)</f>
        <v>0</v>
      </c>
      <c r="M240" s="1049">
        <f>IF(op!M173="","",op!M173)</f>
        <v>0</v>
      </c>
      <c r="N240" s="1051" t="str">
        <f t="shared" si="91"/>
        <v/>
      </c>
      <c r="O240" s="1051" t="str">
        <f t="shared" si="92"/>
        <v/>
      </c>
      <c r="P240" s="1125" t="str">
        <f t="shared" si="93"/>
        <v/>
      </c>
      <c r="Q240" s="472"/>
      <c r="R240" s="923" t="str">
        <f t="shared" si="108"/>
        <v/>
      </c>
      <c r="S240" s="923" t="str">
        <f t="shared" si="94"/>
        <v/>
      </c>
      <c r="T240" s="925" t="str">
        <f t="shared" si="95"/>
        <v/>
      </c>
      <c r="U240" s="545"/>
      <c r="V240" s="1103"/>
      <c r="W240" s="1103"/>
      <c r="X240" s="1060"/>
      <c r="Y240" s="1095" t="e">
        <f t="shared" si="96"/>
        <v>#VALUE!</v>
      </c>
      <c r="Z240" s="1094">
        <f>tab!$B$50</f>
        <v>0.6</v>
      </c>
      <c r="AA240" s="1126" t="e">
        <f t="shared" si="97"/>
        <v>#VALUE!</v>
      </c>
      <c r="AB240" s="1126" t="e">
        <f t="shared" si="98"/>
        <v>#VALUE!</v>
      </c>
      <c r="AC240" s="1126" t="e">
        <f t="shared" si="99"/>
        <v>#VALUE!</v>
      </c>
      <c r="AD240" s="1128" t="e">
        <f t="shared" si="100"/>
        <v>#VALUE!</v>
      </c>
      <c r="AE240" s="1128">
        <f t="shared" si="101"/>
        <v>0</v>
      </c>
      <c r="AF240" s="1096">
        <f>IF(H240&gt;8,tab!$B$51,tab!$B$54)</f>
        <v>0.5</v>
      </c>
      <c r="AG240" s="1097">
        <f t="shared" si="102"/>
        <v>0</v>
      </c>
      <c r="AH240" s="1093">
        <f t="shared" si="103"/>
        <v>0</v>
      </c>
      <c r="AI240" s="1120" t="e">
        <f>DATE(YEAR(tab!$F$3),MONTH(G240),DAY(G240))&gt;tab!$F$3</f>
        <v>#VALUE!</v>
      </c>
      <c r="AJ240" s="1097" t="e">
        <f t="shared" si="104"/>
        <v>#VALUE!</v>
      </c>
      <c r="AK240" s="1041">
        <f t="shared" si="105"/>
        <v>30</v>
      </c>
      <c r="AL240" s="1041">
        <f t="shared" si="106"/>
        <v>30</v>
      </c>
      <c r="AM240" s="1047">
        <f t="shared" si="107"/>
        <v>0</v>
      </c>
      <c r="AS240" s="727"/>
    </row>
    <row r="241" spans="3:45" ht="12.75" customHeight="1" x14ac:dyDescent="0.3">
      <c r="C241" s="122"/>
      <c r="D241" s="388" t="str">
        <f>IF(op!D174=0,"",op!D174)</f>
        <v/>
      </c>
      <c r="E241" s="388" t="str">
        <f>IF(op!E174=0,"",op!E174)</f>
        <v/>
      </c>
      <c r="F241" s="684" t="str">
        <f>IF(op!F174="","",op!F174+1)</f>
        <v/>
      </c>
      <c r="G241" s="710" t="str">
        <f>IF(op!G174="","",op!G174)</f>
        <v/>
      </c>
      <c r="H241" s="684" t="str">
        <f>IF(op!H174=0,"",op!H174)</f>
        <v/>
      </c>
      <c r="I241" s="389" t="str">
        <f>IF(J241="","",(IF(op!I174+1&gt;LOOKUP(H241,schaal2019,regels2019),op!I174,op!I174+1)))</f>
        <v/>
      </c>
      <c r="J241" s="711" t="str">
        <f>IF(op!J174="","",op!J174)</f>
        <v/>
      </c>
      <c r="K241" s="472"/>
      <c r="L241" s="1049">
        <f>IF(op!L174="","",op!L174)</f>
        <v>0</v>
      </c>
      <c r="M241" s="1049">
        <f>IF(op!M174="","",op!M174)</f>
        <v>0</v>
      </c>
      <c r="N241" s="1051" t="str">
        <f t="shared" si="91"/>
        <v/>
      </c>
      <c r="O241" s="1051" t="str">
        <f t="shared" si="92"/>
        <v/>
      </c>
      <c r="P241" s="1125" t="str">
        <f t="shared" si="93"/>
        <v/>
      </c>
      <c r="Q241" s="472"/>
      <c r="R241" s="923" t="str">
        <f t="shared" si="108"/>
        <v/>
      </c>
      <c r="S241" s="923" t="str">
        <f t="shared" si="94"/>
        <v/>
      </c>
      <c r="T241" s="925" t="str">
        <f t="shared" si="95"/>
        <v/>
      </c>
      <c r="U241" s="545"/>
      <c r="V241" s="1103"/>
      <c r="W241" s="1103"/>
      <c r="X241" s="1060"/>
      <c r="Y241" s="1095" t="e">
        <f t="shared" si="96"/>
        <v>#VALUE!</v>
      </c>
      <c r="Z241" s="1094">
        <f>tab!$B$50</f>
        <v>0.6</v>
      </c>
      <c r="AA241" s="1126" t="e">
        <f t="shared" si="97"/>
        <v>#VALUE!</v>
      </c>
      <c r="AB241" s="1126" t="e">
        <f t="shared" si="98"/>
        <v>#VALUE!</v>
      </c>
      <c r="AC241" s="1126" t="e">
        <f t="shared" si="99"/>
        <v>#VALUE!</v>
      </c>
      <c r="AD241" s="1128" t="e">
        <f t="shared" si="100"/>
        <v>#VALUE!</v>
      </c>
      <c r="AE241" s="1128">
        <f t="shared" si="101"/>
        <v>0</v>
      </c>
      <c r="AF241" s="1096">
        <f>IF(H241&gt;8,tab!$B$51,tab!$B$54)</f>
        <v>0.5</v>
      </c>
      <c r="AG241" s="1097">
        <f t="shared" si="102"/>
        <v>0</v>
      </c>
      <c r="AH241" s="1093">
        <f t="shared" si="103"/>
        <v>0</v>
      </c>
      <c r="AI241" s="1120" t="e">
        <f>DATE(YEAR(tab!$F$3),MONTH(G241),DAY(G241))&gt;tab!$F$3</f>
        <v>#VALUE!</v>
      </c>
      <c r="AJ241" s="1097" t="e">
        <f t="shared" si="104"/>
        <v>#VALUE!</v>
      </c>
      <c r="AK241" s="1041">
        <f t="shared" si="105"/>
        <v>30</v>
      </c>
      <c r="AL241" s="1041">
        <f t="shared" si="106"/>
        <v>30</v>
      </c>
      <c r="AM241" s="1047">
        <f t="shared" si="107"/>
        <v>0</v>
      </c>
      <c r="AS241" s="727"/>
    </row>
    <row r="242" spans="3:45" ht="12.75" customHeight="1" x14ac:dyDescent="0.3">
      <c r="C242" s="122"/>
      <c r="D242" s="388" t="str">
        <f>IF(op!D175=0,"",op!D175)</f>
        <v/>
      </c>
      <c r="E242" s="388" t="str">
        <f>IF(op!E175=0,"",op!E175)</f>
        <v/>
      </c>
      <c r="F242" s="684" t="str">
        <f>IF(op!F175="","",op!F175+1)</f>
        <v/>
      </c>
      <c r="G242" s="710" t="str">
        <f>IF(op!G175="","",op!G175)</f>
        <v/>
      </c>
      <c r="H242" s="684" t="str">
        <f>IF(op!H175=0,"",op!H175)</f>
        <v/>
      </c>
      <c r="I242" s="389" t="str">
        <f>IF(J242="","",(IF(op!I175+1&gt;LOOKUP(H242,schaal2019,regels2019),op!I175,op!I175+1)))</f>
        <v/>
      </c>
      <c r="J242" s="711" t="str">
        <f>IF(op!J175="","",op!J175)</f>
        <v/>
      </c>
      <c r="K242" s="472"/>
      <c r="L242" s="1049">
        <f>IF(op!L175="","",op!L175)</f>
        <v>0</v>
      </c>
      <c r="M242" s="1049">
        <f>IF(op!M175="","",op!M175)</f>
        <v>0</v>
      </c>
      <c r="N242" s="1051" t="str">
        <f t="shared" si="91"/>
        <v/>
      </c>
      <c r="O242" s="1051" t="str">
        <f t="shared" si="92"/>
        <v/>
      </c>
      <c r="P242" s="1125" t="str">
        <f t="shared" si="93"/>
        <v/>
      </c>
      <c r="Q242" s="472"/>
      <c r="R242" s="923" t="str">
        <f t="shared" si="108"/>
        <v/>
      </c>
      <c r="S242" s="923" t="str">
        <f t="shared" si="94"/>
        <v/>
      </c>
      <c r="T242" s="925" t="str">
        <f t="shared" si="95"/>
        <v/>
      </c>
      <c r="U242" s="545"/>
      <c r="V242" s="1103"/>
      <c r="W242" s="1103"/>
      <c r="X242" s="1060"/>
      <c r="Y242" s="1095" t="e">
        <f t="shared" si="96"/>
        <v>#VALUE!</v>
      </c>
      <c r="Z242" s="1094">
        <f>tab!$B$50</f>
        <v>0.6</v>
      </c>
      <c r="AA242" s="1126" t="e">
        <f t="shared" si="97"/>
        <v>#VALUE!</v>
      </c>
      <c r="AB242" s="1126" t="e">
        <f t="shared" si="98"/>
        <v>#VALUE!</v>
      </c>
      <c r="AC242" s="1126" t="e">
        <f t="shared" si="99"/>
        <v>#VALUE!</v>
      </c>
      <c r="AD242" s="1128" t="e">
        <f t="shared" si="100"/>
        <v>#VALUE!</v>
      </c>
      <c r="AE242" s="1128">
        <f t="shared" si="101"/>
        <v>0</v>
      </c>
      <c r="AF242" s="1096">
        <f>IF(H242&gt;8,tab!$B$51,tab!$B$54)</f>
        <v>0.5</v>
      </c>
      <c r="AG242" s="1097">
        <f t="shared" si="102"/>
        <v>0</v>
      </c>
      <c r="AH242" s="1093">
        <f t="shared" si="103"/>
        <v>0</v>
      </c>
      <c r="AI242" s="1120" t="e">
        <f>DATE(YEAR(tab!$F$3),MONTH(G242),DAY(G242))&gt;tab!$F$3</f>
        <v>#VALUE!</v>
      </c>
      <c r="AJ242" s="1097" t="e">
        <f t="shared" si="104"/>
        <v>#VALUE!</v>
      </c>
      <c r="AK242" s="1041">
        <f t="shared" si="105"/>
        <v>30</v>
      </c>
      <c r="AL242" s="1041">
        <f t="shared" si="106"/>
        <v>30</v>
      </c>
      <c r="AM242" s="1047">
        <f t="shared" si="107"/>
        <v>0</v>
      </c>
      <c r="AS242" s="727"/>
    </row>
    <row r="243" spans="3:45" ht="12.75" customHeight="1" x14ac:dyDescent="0.3">
      <c r="C243" s="122"/>
      <c r="D243" s="388" t="str">
        <f>IF(op!D176=0,"",op!D176)</f>
        <v/>
      </c>
      <c r="E243" s="388" t="str">
        <f>IF(op!E176=0,"",op!E176)</f>
        <v/>
      </c>
      <c r="F243" s="684" t="str">
        <f>IF(op!F176="","",op!F176+1)</f>
        <v/>
      </c>
      <c r="G243" s="710" t="str">
        <f>IF(op!G176="","",op!G176)</f>
        <v/>
      </c>
      <c r="H243" s="684" t="str">
        <f>IF(op!H176=0,"",op!H176)</f>
        <v/>
      </c>
      <c r="I243" s="389" t="str">
        <f>IF(J243="","",(IF(op!I176+1&gt;LOOKUP(H243,schaal2019,regels2019),op!I176,op!I176+1)))</f>
        <v/>
      </c>
      <c r="J243" s="711" t="str">
        <f>IF(op!J176="","",op!J176)</f>
        <v/>
      </c>
      <c r="K243" s="472"/>
      <c r="L243" s="1049">
        <f>IF(op!L176="","",op!L176)</f>
        <v>0</v>
      </c>
      <c r="M243" s="1049">
        <f>IF(op!M176="","",op!M176)</f>
        <v>0</v>
      </c>
      <c r="N243" s="1051" t="str">
        <f t="shared" si="91"/>
        <v/>
      </c>
      <c r="O243" s="1051" t="str">
        <f t="shared" si="92"/>
        <v/>
      </c>
      <c r="P243" s="1125" t="str">
        <f t="shared" si="93"/>
        <v/>
      </c>
      <c r="Q243" s="472"/>
      <c r="R243" s="923" t="str">
        <f t="shared" si="108"/>
        <v/>
      </c>
      <c r="S243" s="923" t="str">
        <f t="shared" si="94"/>
        <v/>
      </c>
      <c r="T243" s="925" t="str">
        <f t="shared" si="95"/>
        <v/>
      </c>
      <c r="U243" s="545"/>
      <c r="V243" s="1103"/>
      <c r="W243" s="1103"/>
      <c r="X243" s="1060"/>
      <c r="Y243" s="1095" t="e">
        <f t="shared" si="96"/>
        <v>#VALUE!</v>
      </c>
      <c r="Z243" s="1094">
        <f>tab!$B$50</f>
        <v>0.6</v>
      </c>
      <c r="AA243" s="1126" t="e">
        <f t="shared" si="97"/>
        <v>#VALUE!</v>
      </c>
      <c r="AB243" s="1126" t="e">
        <f t="shared" si="98"/>
        <v>#VALUE!</v>
      </c>
      <c r="AC243" s="1126" t="e">
        <f t="shared" si="99"/>
        <v>#VALUE!</v>
      </c>
      <c r="AD243" s="1128" t="e">
        <f t="shared" si="100"/>
        <v>#VALUE!</v>
      </c>
      <c r="AE243" s="1128">
        <f t="shared" si="101"/>
        <v>0</v>
      </c>
      <c r="AF243" s="1096">
        <f>IF(H243&gt;8,tab!$B$51,tab!$B$54)</f>
        <v>0.5</v>
      </c>
      <c r="AG243" s="1097">
        <f t="shared" si="102"/>
        <v>0</v>
      </c>
      <c r="AH243" s="1093">
        <f t="shared" si="103"/>
        <v>0</v>
      </c>
      <c r="AI243" s="1120" t="e">
        <f>DATE(YEAR(tab!$F$3),MONTH(G243),DAY(G243))&gt;tab!$F$3</f>
        <v>#VALUE!</v>
      </c>
      <c r="AJ243" s="1097" t="e">
        <f t="shared" si="104"/>
        <v>#VALUE!</v>
      </c>
      <c r="AK243" s="1041">
        <f t="shared" si="105"/>
        <v>30</v>
      </c>
      <c r="AL243" s="1041">
        <f t="shared" si="106"/>
        <v>30</v>
      </c>
      <c r="AM243" s="1047">
        <f t="shared" si="107"/>
        <v>0</v>
      </c>
      <c r="AS243" s="727"/>
    </row>
    <row r="244" spans="3:45" ht="12.75" customHeight="1" x14ac:dyDescent="0.3">
      <c r="C244" s="122"/>
      <c r="D244" s="388" t="str">
        <f>IF(op!D177=0,"",op!D177)</f>
        <v/>
      </c>
      <c r="E244" s="388" t="str">
        <f>IF(op!E177=0,"",op!E177)</f>
        <v/>
      </c>
      <c r="F244" s="684" t="str">
        <f>IF(op!F177="","",op!F177+1)</f>
        <v/>
      </c>
      <c r="G244" s="710" t="str">
        <f>IF(op!G177="","",op!G177)</f>
        <v/>
      </c>
      <c r="H244" s="684" t="str">
        <f>IF(op!H177=0,"",op!H177)</f>
        <v/>
      </c>
      <c r="I244" s="389" t="str">
        <f>IF(J244="","",(IF(op!I177+1&gt;LOOKUP(H244,schaal2019,regels2019),op!I177,op!I177+1)))</f>
        <v/>
      </c>
      <c r="J244" s="711" t="str">
        <f>IF(op!J177="","",op!J177)</f>
        <v/>
      </c>
      <c r="K244" s="472"/>
      <c r="L244" s="1049">
        <f>IF(op!L177="","",op!L177)</f>
        <v>0</v>
      </c>
      <c r="M244" s="1049">
        <f>IF(op!M177="","",op!M177)</f>
        <v>0</v>
      </c>
      <c r="N244" s="1051" t="str">
        <f t="shared" si="91"/>
        <v/>
      </c>
      <c r="O244" s="1051" t="str">
        <f t="shared" si="92"/>
        <v/>
      </c>
      <c r="P244" s="1125" t="str">
        <f t="shared" si="93"/>
        <v/>
      </c>
      <c r="Q244" s="472"/>
      <c r="R244" s="923" t="str">
        <f t="shared" si="108"/>
        <v/>
      </c>
      <c r="S244" s="923" t="str">
        <f t="shared" si="94"/>
        <v/>
      </c>
      <c r="T244" s="925" t="str">
        <f t="shared" si="95"/>
        <v/>
      </c>
      <c r="U244" s="545"/>
      <c r="V244" s="1103"/>
      <c r="W244" s="1103"/>
      <c r="X244" s="1060"/>
      <c r="Y244" s="1095" t="e">
        <f t="shared" si="96"/>
        <v>#VALUE!</v>
      </c>
      <c r="Z244" s="1094">
        <f>tab!$B$50</f>
        <v>0.6</v>
      </c>
      <c r="AA244" s="1126" t="e">
        <f t="shared" si="97"/>
        <v>#VALUE!</v>
      </c>
      <c r="AB244" s="1126" t="e">
        <f t="shared" si="98"/>
        <v>#VALUE!</v>
      </c>
      <c r="AC244" s="1126" t="e">
        <f t="shared" si="99"/>
        <v>#VALUE!</v>
      </c>
      <c r="AD244" s="1128" t="e">
        <f t="shared" si="100"/>
        <v>#VALUE!</v>
      </c>
      <c r="AE244" s="1128">
        <f t="shared" si="101"/>
        <v>0</v>
      </c>
      <c r="AF244" s="1096">
        <f>IF(H244&gt;8,tab!$B$51,tab!$B$54)</f>
        <v>0.5</v>
      </c>
      <c r="AG244" s="1097">
        <f t="shared" si="102"/>
        <v>0</v>
      </c>
      <c r="AH244" s="1093">
        <f t="shared" si="103"/>
        <v>0</v>
      </c>
      <c r="AI244" s="1120" t="e">
        <f>DATE(YEAR(tab!$F$3),MONTH(G244),DAY(G244))&gt;tab!$F$3</f>
        <v>#VALUE!</v>
      </c>
      <c r="AJ244" s="1097" t="e">
        <f t="shared" si="104"/>
        <v>#VALUE!</v>
      </c>
      <c r="AK244" s="1041">
        <f t="shared" si="105"/>
        <v>30</v>
      </c>
      <c r="AL244" s="1041">
        <f t="shared" si="106"/>
        <v>30</v>
      </c>
      <c r="AM244" s="1047">
        <f t="shared" si="107"/>
        <v>0</v>
      </c>
      <c r="AS244" s="727"/>
    </row>
    <row r="245" spans="3:45" ht="12.75" customHeight="1" x14ac:dyDescent="0.3">
      <c r="C245" s="122"/>
      <c r="D245" s="388" t="str">
        <f>IF(op!D178=0,"",op!D178)</f>
        <v/>
      </c>
      <c r="E245" s="388" t="str">
        <f>IF(op!E178=0,"",op!E178)</f>
        <v/>
      </c>
      <c r="F245" s="684" t="str">
        <f>IF(op!F178="","",op!F178+1)</f>
        <v/>
      </c>
      <c r="G245" s="710" t="str">
        <f>IF(op!G178="","",op!G178)</f>
        <v/>
      </c>
      <c r="H245" s="684" t="str">
        <f>IF(op!H178=0,"",op!H178)</f>
        <v/>
      </c>
      <c r="I245" s="389" t="str">
        <f>IF(J245="","",(IF(op!I178+1&gt;LOOKUP(H245,schaal2019,regels2019),op!I178,op!I178+1)))</f>
        <v/>
      </c>
      <c r="J245" s="711" t="str">
        <f>IF(op!J178="","",op!J178)</f>
        <v/>
      </c>
      <c r="K245" s="472"/>
      <c r="L245" s="1049">
        <f>IF(op!L178="","",op!L178)</f>
        <v>0</v>
      </c>
      <c r="M245" s="1049">
        <f>IF(op!M178="","",op!M178)</f>
        <v>0</v>
      </c>
      <c r="N245" s="1051" t="str">
        <f t="shared" si="91"/>
        <v/>
      </c>
      <c r="O245" s="1051" t="str">
        <f t="shared" si="92"/>
        <v/>
      </c>
      <c r="P245" s="1125" t="str">
        <f t="shared" si="93"/>
        <v/>
      </c>
      <c r="Q245" s="472"/>
      <c r="R245" s="923" t="str">
        <f t="shared" si="108"/>
        <v/>
      </c>
      <c r="S245" s="923" t="str">
        <f t="shared" si="94"/>
        <v/>
      </c>
      <c r="T245" s="925" t="str">
        <f t="shared" si="95"/>
        <v/>
      </c>
      <c r="U245" s="545"/>
      <c r="V245" s="1103"/>
      <c r="W245" s="1103"/>
      <c r="X245" s="1060"/>
      <c r="Y245" s="1095" t="e">
        <f t="shared" si="96"/>
        <v>#VALUE!</v>
      </c>
      <c r="Z245" s="1094">
        <f>tab!$B$50</f>
        <v>0.6</v>
      </c>
      <c r="AA245" s="1126" t="e">
        <f t="shared" si="97"/>
        <v>#VALUE!</v>
      </c>
      <c r="AB245" s="1126" t="e">
        <f t="shared" si="98"/>
        <v>#VALUE!</v>
      </c>
      <c r="AC245" s="1126" t="e">
        <f t="shared" si="99"/>
        <v>#VALUE!</v>
      </c>
      <c r="AD245" s="1128" t="e">
        <f t="shared" si="100"/>
        <v>#VALUE!</v>
      </c>
      <c r="AE245" s="1128">
        <f t="shared" si="101"/>
        <v>0</v>
      </c>
      <c r="AF245" s="1096">
        <f>IF(H245&gt;8,tab!$B$51,tab!$B$54)</f>
        <v>0.5</v>
      </c>
      <c r="AG245" s="1097">
        <f t="shared" si="102"/>
        <v>0</v>
      </c>
      <c r="AH245" s="1093">
        <f t="shared" si="103"/>
        <v>0</v>
      </c>
      <c r="AI245" s="1120" t="e">
        <f>DATE(YEAR(tab!$F$3),MONTH(G245),DAY(G245))&gt;tab!$F$3</f>
        <v>#VALUE!</v>
      </c>
      <c r="AJ245" s="1097" t="e">
        <f t="shared" si="104"/>
        <v>#VALUE!</v>
      </c>
      <c r="AK245" s="1041">
        <f t="shared" si="105"/>
        <v>30</v>
      </c>
      <c r="AL245" s="1041">
        <f t="shared" si="106"/>
        <v>30</v>
      </c>
      <c r="AM245" s="1047">
        <f t="shared" si="107"/>
        <v>0</v>
      </c>
      <c r="AS245" s="727"/>
    </row>
    <row r="246" spans="3:45" ht="12.75" customHeight="1" x14ac:dyDescent="0.3">
      <c r="C246" s="122"/>
      <c r="D246" s="388" t="str">
        <f>IF(op!D179=0,"",op!D179)</f>
        <v/>
      </c>
      <c r="E246" s="388" t="str">
        <f>IF(op!E179=0,"",op!E179)</f>
        <v/>
      </c>
      <c r="F246" s="684" t="str">
        <f>IF(op!F179="","",op!F179+1)</f>
        <v/>
      </c>
      <c r="G246" s="710" t="str">
        <f>IF(op!G179="","",op!G179)</f>
        <v/>
      </c>
      <c r="H246" s="684" t="str">
        <f>IF(op!H179=0,"",op!H179)</f>
        <v/>
      </c>
      <c r="I246" s="389" t="str">
        <f>IF(J246="","",(IF(op!I179+1&gt;LOOKUP(H246,schaal2019,regels2019),op!I179,op!I179+1)))</f>
        <v/>
      </c>
      <c r="J246" s="711" t="str">
        <f>IF(op!J179="","",op!J179)</f>
        <v/>
      </c>
      <c r="K246" s="472"/>
      <c r="L246" s="1049">
        <f>IF(op!L179="","",op!L179)</f>
        <v>0</v>
      </c>
      <c r="M246" s="1049">
        <f>IF(op!M179="","",op!M179)</f>
        <v>0</v>
      </c>
      <c r="N246" s="1051" t="str">
        <f t="shared" si="91"/>
        <v/>
      </c>
      <c r="O246" s="1051" t="str">
        <f t="shared" si="92"/>
        <v/>
      </c>
      <c r="P246" s="1125" t="str">
        <f t="shared" si="93"/>
        <v/>
      </c>
      <c r="Q246" s="472"/>
      <c r="R246" s="923" t="str">
        <f t="shared" si="108"/>
        <v/>
      </c>
      <c r="S246" s="923" t="str">
        <f t="shared" si="94"/>
        <v/>
      </c>
      <c r="T246" s="925" t="str">
        <f t="shared" si="95"/>
        <v/>
      </c>
      <c r="U246" s="545"/>
      <c r="V246" s="1103"/>
      <c r="W246" s="1103"/>
      <c r="X246" s="1060"/>
      <c r="Y246" s="1095" t="e">
        <f t="shared" si="96"/>
        <v>#VALUE!</v>
      </c>
      <c r="Z246" s="1094">
        <f>tab!$B$50</f>
        <v>0.6</v>
      </c>
      <c r="AA246" s="1126" t="e">
        <f t="shared" si="97"/>
        <v>#VALUE!</v>
      </c>
      <c r="AB246" s="1126" t="e">
        <f t="shared" si="98"/>
        <v>#VALUE!</v>
      </c>
      <c r="AC246" s="1126" t="e">
        <f t="shared" si="99"/>
        <v>#VALUE!</v>
      </c>
      <c r="AD246" s="1128" t="e">
        <f t="shared" si="100"/>
        <v>#VALUE!</v>
      </c>
      <c r="AE246" s="1128">
        <f t="shared" si="101"/>
        <v>0</v>
      </c>
      <c r="AF246" s="1096">
        <f>IF(H246&gt;8,tab!$B$51,tab!$B$54)</f>
        <v>0.5</v>
      </c>
      <c r="AG246" s="1097">
        <f t="shared" si="102"/>
        <v>0</v>
      </c>
      <c r="AH246" s="1093">
        <f t="shared" si="103"/>
        <v>0</v>
      </c>
      <c r="AI246" s="1120" t="e">
        <f>DATE(YEAR(tab!$F$3),MONTH(G246),DAY(G246))&gt;tab!$F$3</f>
        <v>#VALUE!</v>
      </c>
      <c r="AJ246" s="1097" t="e">
        <f t="shared" si="104"/>
        <v>#VALUE!</v>
      </c>
      <c r="AK246" s="1041">
        <f t="shared" si="105"/>
        <v>30</v>
      </c>
      <c r="AL246" s="1041">
        <f t="shared" si="106"/>
        <v>30</v>
      </c>
      <c r="AM246" s="1047">
        <f t="shared" si="107"/>
        <v>0</v>
      </c>
      <c r="AS246" s="727"/>
    </row>
    <row r="247" spans="3:45" ht="12.75" customHeight="1" x14ac:dyDescent="0.3">
      <c r="C247" s="122"/>
      <c r="D247" s="388" t="str">
        <f>IF(op!D180=0,"",op!D180)</f>
        <v/>
      </c>
      <c r="E247" s="388" t="str">
        <f>IF(op!E180=0,"",op!E180)</f>
        <v/>
      </c>
      <c r="F247" s="684" t="str">
        <f>IF(op!F180="","",op!F180+1)</f>
        <v/>
      </c>
      <c r="G247" s="710" t="str">
        <f>IF(op!G180="","",op!G180)</f>
        <v/>
      </c>
      <c r="H247" s="684" t="str">
        <f>IF(op!H180=0,"",op!H180)</f>
        <v/>
      </c>
      <c r="I247" s="389" t="str">
        <f>IF(J247="","",(IF(op!I180+1&gt;LOOKUP(H247,schaal2019,regels2019),op!I180,op!I180+1)))</f>
        <v/>
      </c>
      <c r="J247" s="711" t="str">
        <f>IF(op!J180="","",op!J180)</f>
        <v/>
      </c>
      <c r="K247" s="472"/>
      <c r="L247" s="1049">
        <f>IF(op!L180="","",op!L180)</f>
        <v>0</v>
      </c>
      <c r="M247" s="1049">
        <f>IF(op!M180="","",op!M180)</f>
        <v>0</v>
      </c>
      <c r="N247" s="1051" t="str">
        <f t="shared" si="91"/>
        <v/>
      </c>
      <c r="O247" s="1051" t="str">
        <f t="shared" si="92"/>
        <v/>
      </c>
      <c r="P247" s="1125" t="str">
        <f t="shared" si="93"/>
        <v/>
      </c>
      <c r="Q247" s="472"/>
      <c r="R247" s="923" t="str">
        <f t="shared" si="108"/>
        <v/>
      </c>
      <c r="S247" s="923" t="str">
        <f t="shared" si="94"/>
        <v/>
      </c>
      <c r="T247" s="925" t="str">
        <f t="shared" si="95"/>
        <v/>
      </c>
      <c r="U247" s="545"/>
      <c r="V247" s="1103"/>
      <c r="W247" s="1103"/>
      <c r="X247" s="1060"/>
      <c r="Y247" s="1095" t="e">
        <f t="shared" si="96"/>
        <v>#VALUE!</v>
      </c>
      <c r="Z247" s="1094">
        <f>tab!$B$50</f>
        <v>0.6</v>
      </c>
      <c r="AA247" s="1126" t="e">
        <f t="shared" si="97"/>
        <v>#VALUE!</v>
      </c>
      <c r="AB247" s="1126" t="e">
        <f t="shared" si="98"/>
        <v>#VALUE!</v>
      </c>
      <c r="AC247" s="1126" t="e">
        <f t="shared" si="99"/>
        <v>#VALUE!</v>
      </c>
      <c r="AD247" s="1128" t="e">
        <f t="shared" si="100"/>
        <v>#VALUE!</v>
      </c>
      <c r="AE247" s="1128">
        <f t="shared" si="101"/>
        <v>0</v>
      </c>
      <c r="AF247" s="1096">
        <f>IF(H247&gt;8,tab!$B$51,tab!$B$54)</f>
        <v>0.5</v>
      </c>
      <c r="AG247" s="1097">
        <f t="shared" si="102"/>
        <v>0</v>
      </c>
      <c r="AH247" s="1093">
        <f t="shared" si="103"/>
        <v>0</v>
      </c>
      <c r="AI247" s="1120" t="e">
        <f>DATE(YEAR(tab!$F$3),MONTH(G247),DAY(G247))&gt;tab!$F$3</f>
        <v>#VALUE!</v>
      </c>
      <c r="AJ247" s="1097" t="e">
        <f t="shared" si="104"/>
        <v>#VALUE!</v>
      </c>
      <c r="AK247" s="1041">
        <f t="shared" si="105"/>
        <v>30</v>
      </c>
      <c r="AL247" s="1041">
        <f t="shared" si="106"/>
        <v>30</v>
      </c>
      <c r="AM247" s="1047">
        <f t="shared" si="107"/>
        <v>0</v>
      </c>
      <c r="AS247" s="727"/>
    </row>
    <row r="248" spans="3:45" ht="12.75" customHeight="1" x14ac:dyDescent="0.3">
      <c r="C248" s="122"/>
      <c r="D248" s="388" t="str">
        <f>IF(op!D181=0,"",op!D181)</f>
        <v/>
      </c>
      <c r="E248" s="388" t="str">
        <f>IF(op!E181=0,"",op!E181)</f>
        <v/>
      </c>
      <c r="F248" s="684" t="str">
        <f>IF(op!F181="","",op!F181+1)</f>
        <v/>
      </c>
      <c r="G248" s="710" t="str">
        <f>IF(op!G181="","",op!G181)</f>
        <v/>
      </c>
      <c r="H248" s="684" t="str">
        <f>IF(op!H181=0,"",op!H181)</f>
        <v/>
      </c>
      <c r="I248" s="389" t="str">
        <f>IF(J248="","",(IF(op!I181+1&gt;LOOKUP(H248,schaal2019,regels2019),op!I181,op!I181+1)))</f>
        <v/>
      </c>
      <c r="J248" s="711" t="str">
        <f>IF(op!J181="","",op!J181)</f>
        <v/>
      </c>
      <c r="K248" s="472"/>
      <c r="L248" s="1049">
        <f>IF(op!L181="","",op!L181)</f>
        <v>0</v>
      </c>
      <c r="M248" s="1049">
        <f>IF(op!M181="","",op!M181)</f>
        <v>0</v>
      </c>
      <c r="N248" s="1051" t="str">
        <f t="shared" si="91"/>
        <v/>
      </c>
      <c r="O248" s="1051" t="str">
        <f t="shared" si="92"/>
        <v/>
      </c>
      <c r="P248" s="1125" t="str">
        <f t="shared" si="93"/>
        <v/>
      </c>
      <c r="Q248" s="472"/>
      <c r="R248" s="923" t="str">
        <f t="shared" si="108"/>
        <v/>
      </c>
      <c r="S248" s="923" t="str">
        <f t="shared" si="94"/>
        <v/>
      </c>
      <c r="T248" s="925" t="str">
        <f t="shared" si="95"/>
        <v/>
      </c>
      <c r="U248" s="545"/>
      <c r="V248" s="1103"/>
      <c r="W248" s="1103"/>
      <c r="X248" s="1060"/>
      <c r="Y248" s="1095" t="e">
        <f t="shared" si="96"/>
        <v>#VALUE!</v>
      </c>
      <c r="Z248" s="1094">
        <f>tab!$B$50</f>
        <v>0.6</v>
      </c>
      <c r="AA248" s="1126" t="e">
        <f t="shared" si="97"/>
        <v>#VALUE!</v>
      </c>
      <c r="AB248" s="1126" t="e">
        <f t="shared" si="98"/>
        <v>#VALUE!</v>
      </c>
      <c r="AC248" s="1126" t="e">
        <f t="shared" si="99"/>
        <v>#VALUE!</v>
      </c>
      <c r="AD248" s="1128" t="e">
        <f t="shared" si="100"/>
        <v>#VALUE!</v>
      </c>
      <c r="AE248" s="1128">
        <f t="shared" si="101"/>
        <v>0</v>
      </c>
      <c r="AF248" s="1096">
        <f>IF(H248&gt;8,tab!$B$51,tab!$B$54)</f>
        <v>0.5</v>
      </c>
      <c r="AG248" s="1097">
        <f t="shared" si="102"/>
        <v>0</v>
      </c>
      <c r="AH248" s="1093">
        <f t="shared" si="103"/>
        <v>0</v>
      </c>
      <c r="AI248" s="1120" t="e">
        <f>DATE(YEAR(tab!$F$3),MONTH(G248),DAY(G248))&gt;tab!$F$3</f>
        <v>#VALUE!</v>
      </c>
      <c r="AJ248" s="1097" t="e">
        <f t="shared" si="104"/>
        <v>#VALUE!</v>
      </c>
      <c r="AK248" s="1041">
        <f t="shared" si="105"/>
        <v>30</v>
      </c>
      <c r="AL248" s="1041">
        <f t="shared" si="106"/>
        <v>30</v>
      </c>
      <c r="AM248" s="1047">
        <f t="shared" si="107"/>
        <v>0</v>
      </c>
      <c r="AS248" s="727"/>
    </row>
    <row r="249" spans="3:45" ht="12.75" customHeight="1" x14ac:dyDescent="0.3">
      <c r="C249" s="122"/>
      <c r="D249" s="388" t="str">
        <f>IF(op!D182=0,"",op!D182)</f>
        <v/>
      </c>
      <c r="E249" s="388" t="str">
        <f>IF(op!E182=0,"",op!E182)</f>
        <v/>
      </c>
      <c r="F249" s="684" t="str">
        <f>IF(op!F182="","",op!F182+1)</f>
        <v/>
      </c>
      <c r="G249" s="710" t="str">
        <f>IF(op!G182="","",op!G182)</f>
        <v/>
      </c>
      <c r="H249" s="684" t="str">
        <f>IF(op!H182=0,"",op!H182)</f>
        <v/>
      </c>
      <c r="I249" s="389" t="str">
        <f>IF(J249="","",(IF(op!I182+1&gt;LOOKUP(H249,schaal2019,regels2019),op!I182,op!I182+1)))</f>
        <v/>
      </c>
      <c r="J249" s="711" t="str">
        <f>IF(op!J182="","",op!J182)</f>
        <v/>
      </c>
      <c r="K249" s="472"/>
      <c r="L249" s="1049">
        <f>IF(op!L182="","",op!L182)</f>
        <v>0</v>
      </c>
      <c r="M249" s="1049">
        <f>IF(op!M182="","",op!M182)</f>
        <v>0</v>
      </c>
      <c r="N249" s="1051" t="str">
        <f t="shared" si="91"/>
        <v/>
      </c>
      <c r="O249" s="1051" t="str">
        <f t="shared" si="92"/>
        <v/>
      </c>
      <c r="P249" s="1125" t="str">
        <f t="shared" si="93"/>
        <v/>
      </c>
      <c r="Q249" s="472"/>
      <c r="R249" s="923" t="str">
        <f t="shared" si="108"/>
        <v/>
      </c>
      <c r="S249" s="923" t="str">
        <f t="shared" si="94"/>
        <v/>
      </c>
      <c r="T249" s="925" t="str">
        <f t="shared" si="95"/>
        <v/>
      </c>
      <c r="U249" s="545"/>
      <c r="V249" s="1103"/>
      <c r="W249" s="1103"/>
      <c r="X249" s="1060"/>
      <c r="Y249" s="1095" t="e">
        <f t="shared" si="96"/>
        <v>#VALUE!</v>
      </c>
      <c r="Z249" s="1094">
        <f>tab!$B$50</f>
        <v>0.6</v>
      </c>
      <c r="AA249" s="1126" t="e">
        <f t="shared" si="97"/>
        <v>#VALUE!</v>
      </c>
      <c r="AB249" s="1126" t="e">
        <f t="shared" si="98"/>
        <v>#VALUE!</v>
      </c>
      <c r="AC249" s="1126" t="e">
        <f t="shared" si="99"/>
        <v>#VALUE!</v>
      </c>
      <c r="AD249" s="1128" t="e">
        <f t="shared" si="100"/>
        <v>#VALUE!</v>
      </c>
      <c r="AE249" s="1128">
        <f t="shared" si="101"/>
        <v>0</v>
      </c>
      <c r="AF249" s="1096">
        <f>IF(H249&gt;8,tab!$B$51,tab!$B$54)</f>
        <v>0.5</v>
      </c>
      <c r="AG249" s="1097">
        <f t="shared" si="102"/>
        <v>0</v>
      </c>
      <c r="AH249" s="1093">
        <f t="shared" si="103"/>
        <v>0</v>
      </c>
      <c r="AI249" s="1120" t="e">
        <f>DATE(YEAR(tab!$F$3),MONTH(G249),DAY(G249))&gt;tab!$F$3</f>
        <v>#VALUE!</v>
      </c>
      <c r="AJ249" s="1097" t="e">
        <f t="shared" si="104"/>
        <v>#VALUE!</v>
      </c>
      <c r="AK249" s="1041">
        <f t="shared" si="105"/>
        <v>30</v>
      </c>
      <c r="AL249" s="1041">
        <f t="shared" si="106"/>
        <v>30</v>
      </c>
      <c r="AM249" s="1047">
        <f t="shared" si="107"/>
        <v>0</v>
      </c>
      <c r="AS249" s="727"/>
    </row>
    <row r="250" spans="3:45" ht="12.75" customHeight="1" x14ac:dyDescent="0.3">
      <c r="C250" s="122"/>
      <c r="D250" s="388" t="str">
        <f>IF(op!D183=0,"",op!D183)</f>
        <v/>
      </c>
      <c r="E250" s="388" t="str">
        <f>IF(op!E183=0,"",op!E183)</f>
        <v/>
      </c>
      <c r="F250" s="684" t="str">
        <f>IF(op!F183="","",op!F183+1)</f>
        <v/>
      </c>
      <c r="G250" s="710" t="str">
        <f>IF(op!G183="","",op!G183)</f>
        <v/>
      </c>
      <c r="H250" s="684" t="str">
        <f>IF(op!H183=0,"",op!H183)</f>
        <v/>
      </c>
      <c r="I250" s="389" t="str">
        <f>IF(J250="","",(IF(op!I183+1&gt;LOOKUP(H250,schaal2019,regels2019),op!I183,op!I183+1)))</f>
        <v/>
      </c>
      <c r="J250" s="711" t="str">
        <f>IF(op!J183="","",op!J183)</f>
        <v/>
      </c>
      <c r="K250" s="472"/>
      <c r="L250" s="1049">
        <f>IF(op!L183="","",op!L183)</f>
        <v>0</v>
      </c>
      <c r="M250" s="1049">
        <f>IF(op!M183="","",op!M183)</f>
        <v>0</v>
      </c>
      <c r="N250" s="1051" t="str">
        <f t="shared" si="91"/>
        <v/>
      </c>
      <c r="O250" s="1051" t="str">
        <f t="shared" si="92"/>
        <v/>
      </c>
      <c r="P250" s="1125" t="str">
        <f t="shared" si="93"/>
        <v/>
      </c>
      <c r="Q250" s="472"/>
      <c r="R250" s="923" t="str">
        <f t="shared" si="108"/>
        <v/>
      </c>
      <c r="S250" s="923" t="str">
        <f t="shared" si="94"/>
        <v/>
      </c>
      <c r="T250" s="925" t="str">
        <f t="shared" si="95"/>
        <v/>
      </c>
      <c r="U250" s="545"/>
      <c r="V250" s="1103"/>
      <c r="W250" s="1103"/>
      <c r="X250" s="1060"/>
      <c r="Y250" s="1095" t="e">
        <f t="shared" si="96"/>
        <v>#VALUE!</v>
      </c>
      <c r="Z250" s="1094">
        <f>tab!$B$50</f>
        <v>0.6</v>
      </c>
      <c r="AA250" s="1126" t="e">
        <f t="shared" si="97"/>
        <v>#VALUE!</v>
      </c>
      <c r="AB250" s="1126" t="e">
        <f t="shared" si="98"/>
        <v>#VALUE!</v>
      </c>
      <c r="AC250" s="1126" t="e">
        <f t="shared" si="99"/>
        <v>#VALUE!</v>
      </c>
      <c r="AD250" s="1128" t="e">
        <f t="shared" si="100"/>
        <v>#VALUE!</v>
      </c>
      <c r="AE250" s="1128">
        <f t="shared" si="101"/>
        <v>0</v>
      </c>
      <c r="AF250" s="1096">
        <f>IF(H250&gt;8,tab!$B$51,tab!$B$54)</f>
        <v>0.5</v>
      </c>
      <c r="AG250" s="1097">
        <f t="shared" si="102"/>
        <v>0</v>
      </c>
      <c r="AH250" s="1093">
        <f t="shared" si="103"/>
        <v>0</v>
      </c>
      <c r="AI250" s="1120" t="e">
        <f>DATE(YEAR(tab!$F$3),MONTH(G250),DAY(G250))&gt;tab!$F$3</f>
        <v>#VALUE!</v>
      </c>
      <c r="AJ250" s="1097" t="e">
        <f t="shared" si="104"/>
        <v>#VALUE!</v>
      </c>
      <c r="AK250" s="1041">
        <f t="shared" si="105"/>
        <v>30</v>
      </c>
      <c r="AL250" s="1041">
        <f t="shared" si="106"/>
        <v>30</v>
      </c>
      <c r="AM250" s="1047">
        <f t="shared" si="107"/>
        <v>0</v>
      </c>
      <c r="AS250" s="727"/>
    </row>
    <row r="251" spans="3:45" ht="12.75" customHeight="1" x14ac:dyDescent="0.3">
      <c r="C251" s="122"/>
      <c r="D251" s="388" t="str">
        <f>IF(op!D184=0,"",op!D184)</f>
        <v/>
      </c>
      <c r="E251" s="388" t="str">
        <f>IF(op!E184=0,"",op!E184)</f>
        <v/>
      </c>
      <c r="F251" s="684" t="str">
        <f>IF(op!F184="","",op!F184+1)</f>
        <v/>
      </c>
      <c r="G251" s="710" t="str">
        <f>IF(op!G184="","",op!G184)</f>
        <v/>
      </c>
      <c r="H251" s="684" t="str">
        <f>IF(op!H184=0,"",op!H184)</f>
        <v/>
      </c>
      <c r="I251" s="389" t="str">
        <f>IF(J251="","",(IF(op!I184+1&gt;LOOKUP(H251,schaal2019,regels2019),op!I184,op!I184+1)))</f>
        <v/>
      </c>
      <c r="J251" s="711" t="str">
        <f>IF(op!J184="","",op!J184)</f>
        <v/>
      </c>
      <c r="K251" s="472"/>
      <c r="L251" s="1049">
        <f>IF(op!L184="","",op!L184)</f>
        <v>0</v>
      </c>
      <c r="M251" s="1049">
        <f>IF(op!M184="","",op!M184)</f>
        <v>0</v>
      </c>
      <c r="N251" s="1051" t="str">
        <f t="shared" si="91"/>
        <v/>
      </c>
      <c r="O251" s="1051" t="str">
        <f t="shared" si="92"/>
        <v/>
      </c>
      <c r="P251" s="1125" t="str">
        <f t="shared" si="93"/>
        <v/>
      </c>
      <c r="Q251" s="472"/>
      <c r="R251" s="923" t="str">
        <f t="shared" si="108"/>
        <v/>
      </c>
      <c r="S251" s="923" t="str">
        <f t="shared" si="94"/>
        <v/>
      </c>
      <c r="T251" s="925" t="str">
        <f t="shared" si="95"/>
        <v/>
      </c>
      <c r="U251" s="545"/>
      <c r="V251" s="1103"/>
      <c r="W251" s="1103"/>
      <c r="X251" s="1060"/>
      <c r="Y251" s="1095" t="e">
        <f t="shared" ref="Y251:Y273" si="109">ROUND(5/12*VLOOKUP(H251,salaris2021,I251+1,FALSE)+7/12*VLOOKUP(H251,salaris2021,I251+1,FALSE),0)</f>
        <v>#VALUE!</v>
      </c>
      <c r="Z251" s="1094">
        <f>tab!$B$50</f>
        <v>0.6</v>
      </c>
      <c r="AA251" s="1126" t="e">
        <f t="shared" si="97"/>
        <v>#VALUE!</v>
      </c>
      <c r="AB251" s="1126" t="e">
        <f t="shared" si="98"/>
        <v>#VALUE!</v>
      </c>
      <c r="AC251" s="1126" t="e">
        <f t="shared" si="99"/>
        <v>#VALUE!</v>
      </c>
      <c r="AD251" s="1128" t="e">
        <f t="shared" si="100"/>
        <v>#VALUE!</v>
      </c>
      <c r="AE251" s="1128">
        <f t="shared" si="101"/>
        <v>0</v>
      </c>
      <c r="AF251" s="1096">
        <f>IF(H251&gt;8,tab!$B$51,tab!$B$54)</f>
        <v>0.5</v>
      </c>
      <c r="AG251" s="1097">
        <f t="shared" ref="AG251:AG273" si="110">IF(F251&lt;25,0,IF(F251=25,25,IF(F251&lt;40,0,IF(F251=40,40,IF(F251&gt;=40,0)))))</f>
        <v>0</v>
      </c>
      <c r="AH251" s="1093">
        <f t="shared" ref="AH251:AH273" si="111">IF(AG251=25,(Y251*1.08*(J251)/2),IF(AG251=40,(Y251*1.08*(J251)),IF(AG251=0,0)))</f>
        <v>0</v>
      </c>
      <c r="AI251" s="1120" t="e">
        <f>DATE(YEAR(tab!$F$3),MONTH(G251),DAY(G251))&gt;tab!$F$3</f>
        <v>#VALUE!</v>
      </c>
      <c r="AJ251" s="1097" t="e">
        <f t="shared" ref="AJ251:AJ273" si="112">YEAR($E$212)-YEAR(G251)-AI251</f>
        <v>#VALUE!</v>
      </c>
      <c r="AK251" s="1041">
        <f t="shared" ref="AK251:AK273" si="113">IF((G251=""),30,AJ251)</f>
        <v>30</v>
      </c>
      <c r="AL251" s="1041">
        <f t="shared" ref="AL251:AL273" si="114">IF((AK251)&gt;50,50,(AK251))</f>
        <v>30</v>
      </c>
      <c r="AM251" s="1047">
        <f t="shared" ref="AM251:AM273" si="115">(AL251*(SUM(J251:J251)))</f>
        <v>0</v>
      </c>
      <c r="AS251" s="727"/>
    </row>
    <row r="252" spans="3:45" ht="12.75" customHeight="1" x14ac:dyDescent="0.3">
      <c r="C252" s="122"/>
      <c r="D252" s="388" t="str">
        <f>IF(op!D185=0,"",op!D185)</f>
        <v/>
      </c>
      <c r="E252" s="388" t="str">
        <f>IF(op!E185=0,"",op!E185)</f>
        <v/>
      </c>
      <c r="F252" s="684" t="str">
        <f>IF(op!F185="","",op!F185+1)</f>
        <v/>
      </c>
      <c r="G252" s="710" t="str">
        <f>IF(op!G185="","",op!G185)</f>
        <v/>
      </c>
      <c r="H252" s="684" t="str">
        <f>IF(op!H185=0,"",op!H185)</f>
        <v/>
      </c>
      <c r="I252" s="389" t="str">
        <f>IF(J252="","",(IF(op!I185+1&gt;LOOKUP(H252,schaal2019,regels2019),op!I185,op!I185+1)))</f>
        <v/>
      </c>
      <c r="J252" s="711" t="str">
        <f>IF(op!J185="","",op!J185)</f>
        <v/>
      </c>
      <c r="K252" s="472"/>
      <c r="L252" s="1049">
        <f>IF(op!L185="","",op!L185)</f>
        <v>0</v>
      </c>
      <c r="M252" s="1049">
        <f>IF(op!M185="","",op!M185)</f>
        <v>0</v>
      </c>
      <c r="N252" s="1051" t="str">
        <f t="shared" si="91"/>
        <v/>
      </c>
      <c r="O252" s="1051" t="str">
        <f t="shared" si="92"/>
        <v/>
      </c>
      <c r="P252" s="1125" t="str">
        <f t="shared" si="93"/>
        <v/>
      </c>
      <c r="Q252" s="472"/>
      <c r="R252" s="923" t="str">
        <f t="shared" si="108"/>
        <v/>
      </c>
      <c r="S252" s="923" t="str">
        <f t="shared" si="94"/>
        <v/>
      </c>
      <c r="T252" s="925" t="str">
        <f t="shared" si="95"/>
        <v/>
      </c>
      <c r="U252" s="545"/>
      <c r="V252" s="1103"/>
      <c r="W252" s="1103"/>
      <c r="X252" s="1060"/>
      <c r="Y252" s="1095" t="e">
        <f t="shared" si="109"/>
        <v>#VALUE!</v>
      </c>
      <c r="Z252" s="1094">
        <f>tab!$B$50</f>
        <v>0.6</v>
      </c>
      <c r="AA252" s="1126" t="e">
        <f t="shared" si="97"/>
        <v>#VALUE!</v>
      </c>
      <c r="AB252" s="1126" t="e">
        <f t="shared" si="98"/>
        <v>#VALUE!</v>
      </c>
      <c r="AC252" s="1126" t="e">
        <f t="shared" si="99"/>
        <v>#VALUE!</v>
      </c>
      <c r="AD252" s="1128" t="e">
        <f t="shared" si="100"/>
        <v>#VALUE!</v>
      </c>
      <c r="AE252" s="1128">
        <f t="shared" si="101"/>
        <v>0</v>
      </c>
      <c r="AF252" s="1096">
        <f>IF(H252&gt;8,tab!$B$51,tab!$B$54)</f>
        <v>0.5</v>
      </c>
      <c r="AG252" s="1097">
        <f t="shared" si="110"/>
        <v>0</v>
      </c>
      <c r="AH252" s="1093">
        <f t="shared" si="111"/>
        <v>0</v>
      </c>
      <c r="AI252" s="1120" t="e">
        <f>DATE(YEAR(tab!$F$3),MONTH(G252),DAY(G252))&gt;tab!$F$3</f>
        <v>#VALUE!</v>
      </c>
      <c r="AJ252" s="1097" t="e">
        <f t="shared" si="112"/>
        <v>#VALUE!</v>
      </c>
      <c r="AK252" s="1041">
        <f t="shared" si="113"/>
        <v>30</v>
      </c>
      <c r="AL252" s="1041">
        <f t="shared" si="114"/>
        <v>30</v>
      </c>
      <c r="AM252" s="1047">
        <f t="shared" si="115"/>
        <v>0</v>
      </c>
      <c r="AS252" s="727"/>
    </row>
    <row r="253" spans="3:45" ht="12.75" customHeight="1" x14ac:dyDescent="0.3">
      <c r="C253" s="122"/>
      <c r="D253" s="388" t="str">
        <f>IF(op!D186=0,"",op!D186)</f>
        <v/>
      </c>
      <c r="E253" s="388" t="str">
        <f>IF(op!E186=0,"",op!E186)</f>
        <v/>
      </c>
      <c r="F253" s="684" t="str">
        <f>IF(op!F186="","",op!F186+1)</f>
        <v/>
      </c>
      <c r="G253" s="710" t="str">
        <f>IF(op!G186="","",op!G186)</f>
        <v/>
      </c>
      <c r="H253" s="684" t="str">
        <f>IF(op!H186=0,"",op!H186)</f>
        <v/>
      </c>
      <c r="I253" s="389" t="str">
        <f>IF(J253="","",(IF(op!I186+1&gt;LOOKUP(H253,schaal2019,regels2019),op!I186,op!I186+1)))</f>
        <v/>
      </c>
      <c r="J253" s="711" t="str">
        <f>IF(op!J186="","",op!J186)</f>
        <v/>
      </c>
      <c r="K253" s="472"/>
      <c r="L253" s="1049">
        <f>IF(op!L186="","",op!L186)</f>
        <v>0</v>
      </c>
      <c r="M253" s="1049">
        <f>IF(op!M186="","",op!M186)</f>
        <v>0</v>
      </c>
      <c r="N253" s="1051" t="str">
        <f t="shared" si="91"/>
        <v/>
      </c>
      <c r="O253" s="1051" t="str">
        <f t="shared" si="92"/>
        <v/>
      </c>
      <c r="P253" s="1125" t="str">
        <f t="shared" si="93"/>
        <v/>
      </c>
      <c r="Q253" s="472"/>
      <c r="R253" s="923" t="str">
        <f t="shared" si="108"/>
        <v/>
      </c>
      <c r="S253" s="923" t="str">
        <f t="shared" si="94"/>
        <v/>
      </c>
      <c r="T253" s="925" t="str">
        <f t="shared" si="95"/>
        <v/>
      </c>
      <c r="U253" s="545"/>
      <c r="V253" s="1103"/>
      <c r="W253" s="1103"/>
      <c r="X253" s="1060"/>
      <c r="Y253" s="1095" t="e">
        <f t="shared" si="109"/>
        <v>#VALUE!</v>
      </c>
      <c r="Z253" s="1094">
        <f>tab!$B$50</f>
        <v>0.6</v>
      </c>
      <c r="AA253" s="1126" t="e">
        <f t="shared" si="97"/>
        <v>#VALUE!</v>
      </c>
      <c r="AB253" s="1126" t="e">
        <f t="shared" si="98"/>
        <v>#VALUE!</v>
      </c>
      <c r="AC253" s="1126" t="e">
        <f t="shared" si="99"/>
        <v>#VALUE!</v>
      </c>
      <c r="AD253" s="1128" t="e">
        <f t="shared" si="100"/>
        <v>#VALUE!</v>
      </c>
      <c r="AE253" s="1128">
        <f t="shared" si="101"/>
        <v>0</v>
      </c>
      <c r="AF253" s="1096">
        <f>IF(H253&gt;8,tab!$B$51,tab!$B$54)</f>
        <v>0.5</v>
      </c>
      <c r="AG253" s="1097">
        <f t="shared" si="110"/>
        <v>0</v>
      </c>
      <c r="AH253" s="1093">
        <f t="shared" si="111"/>
        <v>0</v>
      </c>
      <c r="AI253" s="1120" t="e">
        <f>DATE(YEAR(tab!$F$3),MONTH(G253),DAY(G253))&gt;tab!$F$3</f>
        <v>#VALUE!</v>
      </c>
      <c r="AJ253" s="1097" t="e">
        <f t="shared" si="112"/>
        <v>#VALUE!</v>
      </c>
      <c r="AK253" s="1041">
        <f t="shared" si="113"/>
        <v>30</v>
      </c>
      <c r="AL253" s="1041">
        <f t="shared" si="114"/>
        <v>30</v>
      </c>
      <c r="AM253" s="1047">
        <f t="shared" si="115"/>
        <v>0</v>
      </c>
      <c r="AS253" s="727"/>
    </row>
    <row r="254" spans="3:45" ht="12.75" customHeight="1" x14ac:dyDescent="0.3">
      <c r="C254" s="122"/>
      <c r="D254" s="388" t="str">
        <f>IF(op!D187=0,"",op!D187)</f>
        <v/>
      </c>
      <c r="E254" s="388" t="str">
        <f>IF(op!E187=0,"",op!E187)</f>
        <v/>
      </c>
      <c r="F254" s="684" t="str">
        <f>IF(op!F187="","",op!F187+1)</f>
        <v/>
      </c>
      <c r="G254" s="710" t="str">
        <f>IF(op!G187="","",op!G187)</f>
        <v/>
      </c>
      <c r="H254" s="684" t="str">
        <f>IF(op!H187=0,"",op!H187)</f>
        <v/>
      </c>
      <c r="I254" s="389" t="str">
        <f>IF(J254="","",(IF(op!I187+1&gt;LOOKUP(H254,schaal2019,regels2019),op!I187,op!I187+1)))</f>
        <v/>
      </c>
      <c r="J254" s="711" t="str">
        <f>IF(op!J187="","",op!J187)</f>
        <v/>
      </c>
      <c r="K254" s="472"/>
      <c r="L254" s="1049">
        <f>IF(op!L187="","",op!L187)</f>
        <v>0</v>
      </c>
      <c r="M254" s="1049">
        <f>IF(op!M187="","",op!M187)</f>
        <v>0</v>
      </c>
      <c r="N254" s="1051" t="str">
        <f t="shared" si="91"/>
        <v/>
      </c>
      <c r="O254" s="1051" t="str">
        <f t="shared" si="92"/>
        <v/>
      </c>
      <c r="P254" s="1125" t="str">
        <f t="shared" si="93"/>
        <v/>
      </c>
      <c r="Q254" s="472"/>
      <c r="R254" s="923" t="str">
        <f t="shared" si="108"/>
        <v/>
      </c>
      <c r="S254" s="923" t="str">
        <f t="shared" si="94"/>
        <v/>
      </c>
      <c r="T254" s="925" t="str">
        <f t="shared" si="95"/>
        <v/>
      </c>
      <c r="U254" s="545"/>
      <c r="V254" s="1103"/>
      <c r="W254" s="1103"/>
      <c r="X254" s="1060"/>
      <c r="Y254" s="1095" t="e">
        <f t="shared" si="109"/>
        <v>#VALUE!</v>
      </c>
      <c r="Z254" s="1094">
        <f>tab!$B$50</f>
        <v>0.6</v>
      </c>
      <c r="AA254" s="1126" t="e">
        <f t="shared" si="97"/>
        <v>#VALUE!</v>
      </c>
      <c r="AB254" s="1126" t="e">
        <f t="shared" si="98"/>
        <v>#VALUE!</v>
      </c>
      <c r="AC254" s="1126" t="e">
        <f t="shared" si="99"/>
        <v>#VALUE!</v>
      </c>
      <c r="AD254" s="1128" t="e">
        <f t="shared" si="100"/>
        <v>#VALUE!</v>
      </c>
      <c r="AE254" s="1128">
        <f t="shared" si="101"/>
        <v>0</v>
      </c>
      <c r="AF254" s="1096">
        <f>IF(H254&gt;8,tab!$B$51,tab!$B$54)</f>
        <v>0.5</v>
      </c>
      <c r="AG254" s="1097">
        <f t="shared" si="110"/>
        <v>0</v>
      </c>
      <c r="AH254" s="1093">
        <f t="shared" si="111"/>
        <v>0</v>
      </c>
      <c r="AI254" s="1120" t="e">
        <f>DATE(YEAR(tab!$F$3),MONTH(G254),DAY(G254))&gt;tab!$F$3</f>
        <v>#VALUE!</v>
      </c>
      <c r="AJ254" s="1097" t="e">
        <f t="shared" si="112"/>
        <v>#VALUE!</v>
      </c>
      <c r="AK254" s="1041">
        <f t="shared" si="113"/>
        <v>30</v>
      </c>
      <c r="AL254" s="1041">
        <f t="shared" si="114"/>
        <v>30</v>
      </c>
      <c r="AM254" s="1047">
        <f t="shared" si="115"/>
        <v>0</v>
      </c>
      <c r="AS254" s="727"/>
    </row>
    <row r="255" spans="3:45" ht="12.75" customHeight="1" x14ac:dyDescent="0.3">
      <c r="C255" s="122"/>
      <c r="D255" s="388" t="str">
        <f>IF(op!D188=0,"",op!D188)</f>
        <v/>
      </c>
      <c r="E255" s="388" t="str">
        <f>IF(op!E188=0,"",op!E188)</f>
        <v/>
      </c>
      <c r="F255" s="684" t="str">
        <f>IF(op!F188="","",op!F188+1)</f>
        <v/>
      </c>
      <c r="G255" s="710" t="str">
        <f>IF(op!G188="","",op!G188)</f>
        <v/>
      </c>
      <c r="H255" s="684" t="str">
        <f>IF(op!H188=0,"",op!H188)</f>
        <v/>
      </c>
      <c r="I255" s="389" t="str">
        <f>IF(J255="","",(IF(op!I188+1&gt;LOOKUP(H255,schaal2019,regels2019),op!I188,op!I188+1)))</f>
        <v/>
      </c>
      <c r="J255" s="711" t="str">
        <f>IF(op!J188="","",op!J188)</f>
        <v/>
      </c>
      <c r="K255" s="472"/>
      <c r="L255" s="1049">
        <f>IF(op!L188="","",op!L188)</f>
        <v>0</v>
      </c>
      <c r="M255" s="1049">
        <f>IF(op!M188="","",op!M188)</f>
        <v>0</v>
      </c>
      <c r="N255" s="1051" t="str">
        <f t="shared" si="91"/>
        <v/>
      </c>
      <c r="O255" s="1051" t="str">
        <f t="shared" si="92"/>
        <v/>
      </c>
      <c r="P255" s="1125" t="str">
        <f t="shared" si="93"/>
        <v/>
      </c>
      <c r="Q255" s="472"/>
      <c r="R255" s="923" t="str">
        <f t="shared" si="108"/>
        <v/>
      </c>
      <c r="S255" s="923" t="str">
        <f t="shared" si="94"/>
        <v/>
      </c>
      <c r="T255" s="925" t="str">
        <f t="shared" si="95"/>
        <v/>
      </c>
      <c r="U255" s="545"/>
      <c r="V255" s="1103"/>
      <c r="W255" s="1103"/>
      <c r="X255" s="1060"/>
      <c r="Y255" s="1095" t="e">
        <f t="shared" si="109"/>
        <v>#VALUE!</v>
      </c>
      <c r="Z255" s="1094">
        <f>tab!$B$50</f>
        <v>0.6</v>
      </c>
      <c r="AA255" s="1126" t="e">
        <f t="shared" si="97"/>
        <v>#VALUE!</v>
      </c>
      <c r="AB255" s="1126" t="e">
        <f t="shared" si="98"/>
        <v>#VALUE!</v>
      </c>
      <c r="AC255" s="1126" t="e">
        <f t="shared" si="99"/>
        <v>#VALUE!</v>
      </c>
      <c r="AD255" s="1128" t="e">
        <f t="shared" si="100"/>
        <v>#VALUE!</v>
      </c>
      <c r="AE255" s="1128">
        <f t="shared" si="101"/>
        <v>0</v>
      </c>
      <c r="AF255" s="1096">
        <f>IF(H255&gt;8,tab!$B$51,tab!$B$54)</f>
        <v>0.5</v>
      </c>
      <c r="AG255" s="1097">
        <f t="shared" si="110"/>
        <v>0</v>
      </c>
      <c r="AH255" s="1093">
        <f t="shared" si="111"/>
        <v>0</v>
      </c>
      <c r="AI255" s="1120" t="e">
        <f>DATE(YEAR(tab!$F$3),MONTH(G255),DAY(G255))&gt;tab!$F$3</f>
        <v>#VALUE!</v>
      </c>
      <c r="AJ255" s="1097" t="e">
        <f t="shared" si="112"/>
        <v>#VALUE!</v>
      </c>
      <c r="AK255" s="1041">
        <f t="shared" si="113"/>
        <v>30</v>
      </c>
      <c r="AL255" s="1041">
        <f t="shared" si="114"/>
        <v>30</v>
      </c>
      <c r="AM255" s="1047">
        <f t="shared" si="115"/>
        <v>0</v>
      </c>
      <c r="AS255" s="727"/>
    </row>
    <row r="256" spans="3:45" ht="12.75" customHeight="1" x14ac:dyDescent="0.3">
      <c r="C256" s="122"/>
      <c r="D256" s="388" t="str">
        <f>IF(op!D189=0,"",op!D189)</f>
        <v/>
      </c>
      <c r="E256" s="388" t="str">
        <f>IF(op!E189=0,"",op!E189)</f>
        <v/>
      </c>
      <c r="F256" s="684" t="str">
        <f>IF(op!F189="","",op!F189+1)</f>
        <v/>
      </c>
      <c r="G256" s="710" t="str">
        <f>IF(op!G189="","",op!G189)</f>
        <v/>
      </c>
      <c r="H256" s="684" t="str">
        <f>IF(op!H189=0,"",op!H189)</f>
        <v/>
      </c>
      <c r="I256" s="389" t="str">
        <f>IF(J256="","",(IF(op!I189+1&gt;LOOKUP(H256,schaal2019,regels2019),op!I189,op!I189+1)))</f>
        <v/>
      </c>
      <c r="J256" s="711" t="str">
        <f>IF(op!J189="","",op!J189)</f>
        <v/>
      </c>
      <c r="K256" s="472"/>
      <c r="L256" s="1049">
        <f>IF(op!L189="","",op!L189)</f>
        <v>0</v>
      </c>
      <c r="M256" s="1049">
        <f>IF(op!M189="","",op!M189)</f>
        <v>0</v>
      </c>
      <c r="N256" s="1051" t="str">
        <f t="shared" si="91"/>
        <v/>
      </c>
      <c r="O256" s="1051" t="str">
        <f t="shared" si="92"/>
        <v/>
      </c>
      <c r="P256" s="1125" t="str">
        <f t="shared" si="93"/>
        <v/>
      </c>
      <c r="Q256" s="472"/>
      <c r="R256" s="923" t="str">
        <f t="shared" si="108"/>
        <v/>
      </c>
      <c r="S256" s="923" t="str">
        <f t="shared" si="94"/>
        <v/>
      </c>
      <c r="T256" s="925" t="str">
        <f t="shared" si="95"/>
        <v/>
      </c>
      <c r="U256" s="545"/>
      <c r="V256" s="1103"/>
      <c r="W256" s="1103"/>
      <c r="X256" s="1060"/>
      <c r="Y256" s="1095" t="e">
        <f t="shared" si="109"/>
        <v>#VALUE!</v>
      </c>
      <c r="Z256" s="1094">
        <f>tab!$B$50</f>
        <v>0.6</v>
      </c>
      <c r="AA256" s="1126" t="e">
        <f t="shared" si="97"/>
        <v>#VALUE!</v>
      </c>
      <c r="AB256" s="1126" t="e">
        <f t="shared" si="98"/>
        <v>#VALUE!</v>
      </c>
      <c r="AC256" s="1126" t="e">
        <f t="shared" si="99"/>
        <v>#VALUE!</v>
      </c>
      <c r="AD256" s="1128" t="e">
        <f t="shared" si="100"/>
        <v>#VALUE!</v>
      </c>
      <c r="AE256" s="1128">
        <f t="shared" si="101"/>
        <v>0</v>
      </c>
      <c r="AF256" s="1096">
        <f>IF(H256&gt;8,tab!$B$51,tab!$B$54)</f>
        <v>0.5</v>
      </c>
      <c r="AG256" s="1097">
        <f t="shared" si="110"/>
        <v>0</v>
      </c>
      <c r="AH256" s="1093">
        <f t="shared" si="111"/>
        <v>0</v>
      </c>
      <c r="AI256" s="1120" t="e">
        <f>DATE(YEAR(tab!$F$3),MONTH(G256),DAY(G256))&gt;tab!$F$3</f>
        <v>#VALUE!</v>
      </c>
      <c r="AJ256" s="1097" t="e">
        <f t="shared" si="112"/>
        <v>#VALUE!</v>
      </c>
      <c r="AK256" s="1041">
        <f t="shared" si="113"/>
        <v>30</v>
      </c>
      <c r="AL256" s="1041">
        <f t="shared" si="114"/>
        <v>30</v>
      </c>
      <c r="AM256" s="1047">
        <f t="shared" si="115"/>
        <v>0</v>
      </c>
      <c r="AS256" s="727"/>
    </row>
    <row r="257" spans="3:45" ht="12.75" customHeight="1" x14ac:dyDescent="0.3">
      <c r="C257" s="122"/>
      <c r="D257" s="388" t="str">
        <f>IF(op!D190=0,"",op!D190)</f>
        <v/>
      </c>
      <c r="E257" s="388" t="str">
        <f>IF(op!E190=0,"",op!E190)</f>
        <v/>
      </c>
      <c r="F257" s="684" t="str">
        <f>IF(op!F190="","",op!F190+1)</f>
        <v/>
      </c>
      <c r="G257" s="710" t="str">
        <f>IF(op!G190="","",op!G190)</f>
        <v/>
      </c>
      <c r="H257" s="684" t="str">
        <f>IF(op!H190=0,"",op!H190)</f>
        <v/>
      </c>
      <c r="I257" s="389" t="str">
        <f>IF(J257="","",(IF(op!I190+1&gt;LOOKUP(H257,schaal2019,regels2019),op!I190,op!I190+1)))</f>
        <v/>
      </c>
      <c r="J257" s="711" t="str">
        <f>IF(op!J190="","",op!J190)</f>
        <v/>
      </c>
      <c r="K257" s="472"/>
      <c r="L257" s="1049">
        <f>IF(op!L190="","",op!L190)</f>
        <v>0</v>
      </c>
      <c r="M257" s="1049">
        <f>IF(op!M190="","",op!M190)</f>
        <v>0</v>
      </c>
      <c r="N257" s="1051" t="str">
        <f t="shared" si="91"/>
        <v/>
      </c>
      <c r="O257" s="1051" t="str">
        <f t="shared" si="92"/>
        <v/>
      </c>
      <c r="P257" s="1125" t="str">
        <f t="shared" si="93"/>
        <v/>
      </c>
      <c r="Q257" s="472"/>
      <c r="R257" s="923" t="str">
        <f t="shared" si="108"/>
        <v/>
      </c>
      <c r="S257" s="923" t="str">
        <f t="shared" si="94"/>
        <v/>
      </c>
      <c r="T257" s="925" t="str">
        <f t="shared" si="95"/>
        <v/>
      </c>
      <c r="U257" s="545"/>
      <c r="V257" s="1103"/>
      <c r="W257" s="1103"/>
      <c r="X257" s="1060"/>
      <c r="Y257" s="1095" t="e">
        <f t="shared" si="109"/>
        <v>#VALUE!</v>
      </c>
      <c r="Z257" s="1094">
        <f>tab!$B$50</f>
        <v>0.6</v>
      </c>
      <c r="AA257" s="1126" t="e">
        <f t="shared" si="97"/>
        <v>#VALUE!</v>
      </c>
      <c r="AB257" s="1126" t="e">
        <f t="shared" si="98"/>
        <v>#VALUE!</v>
      </c>
      <c r="AC257" s="1126" t="e">
        <f t="shared" si="99"/>
        <v>#VALUE!</v>
      </c>
      <c r="AD257" s="1128" t="e">
        <f t="shared" si="100"/>
        <v>#VALUE!</v>
      </c>
      <c r="AE257" s="1128">
        <f t="shared" si="101"/>
        <v>0</v>
      </c>
      <c r="AF257" s="1096">
        <f>IF(H257&gt;8,tab!$B$51,tab!$B$54)</f>
        <v>0.5</v>
      </c>
      <c r="AG257" s="1097">
        <f t="shared" si="110"/>
        <v>0</v>
      </c>
      <c r="AH257" s="1093">
        <f t="shared" si="111"/>
        <v>0</v>
      </c>
      <c r="AI257" s="1120" t="e">
        <f>DATE(YEAR(tab!$F$3),MONTH(G257),DAY(G257))&gt;tab!$F$3</f>
        <v>#VALUE!</v>
      </c>
      <c r="AJ257" s="1097" t="e">
        <f t="shared" si="112"/>
        <v>#VALUE!</v>
      </c>
      <c r="AK257" s="1041">
        <f t="shared" si="113"/>
        <v>30</v>
      </c>
      <c r="AL257" s="1041">
        <f t="shared" si="114"/>
        <v>30</v>
      </c>
      <c r="AM257" s="1047">
        <f t="shared" si="115"/>
        <v>0</v>
      </c>
      <c r="AS257" s="727"/>
    </row>
    <row r="258" spans="3:45" ht="12.75" customHeight="1" x14ac:dyDescent="0.3">
      <c r="C258" s="122"/>
      <c r="D258" s="388" t="str">
        <f>IF(op!D191=0,"",op!D191)</f>
        <v/>
      </c>
      <c r="E258" s="388" t="str">
        <f>IF(op!E191=0,"",op!E191)</f>
        <v/>
      </c>
      <c r="F258" s="684" t="str">
        <f>IF(op!F191="","",op!F191+1)</f>
        <v/>
      </c>
      <c r="G258" s="710" t="str">
        <f>IF(op!G191="","",op!G191)</f>
        <v/>
      </c>
      <c r="H258" s="684" t="str">
        <f>IF(op!H191=0,"",op!H191)</f>
        <v/>
      </c>
      <c r="I258" s="389" t="str">
        <f>IF(J258="","",(IF(op!I191+1&gt;LOOKUP(H258,schaal2019,regels2019),op!I191,op!I191+1)))</f>
        <v/>
      </c>
      <c r="J258" s="711" t="str">
        <f>IF(op!J191="","",op!J191)</f>
        <v/>
      </c>
      <c r="K258" s="472"/>
      <c r="L258" s="1049">
        <f>IF(op!L191="","",op!L191)</f>
        <v>0</v>
      </c>
      <c r="M258" s="1049">
        <f>IF(op!M191="","",op!M191)</f>
        <v>0</v>
      </c>
      <c r="N258" s="1051" t="str">
        <f t="shared" si="91"/>
        <v/>
      </c>
      <c r="O258" s="1051" t="str">
        <f t="shared" si="92"/>
        <v/>
      </c>
      <c r="P258" s="1125" t="str">
        <f t="shared" si="93"/>
        <v/>
      </c>
      <c r="Q258" s="472"/>
      <c r="R258" s="923" t="str">
        <f t="shared" si="108"/>
        <v/>
      </c>
      <c r="S258" s="923" t="str">
        <f t="shared" si="94"/>
        <v/>
      </c>
      <c r="T258" s="925" t="str">
        <f t="shared" si="95"/>
        <v/>
      </c>
      <c r="U258" s="545"/>
      <c r="V258" s="1103"/>
      <c r="W258" s="1103"/>
      <c r="X258" s="1060"/>
      <c r="Y258" s="1095" t="e">
        <f t="shared" si="109"/>
        <v>#VALUE!</v>
      </c>
      <c r="Z258" s="1094">
        <f>tab!$B$50</f>
        <v>0.6</v>
      </c>
      <c r="AA258" s="1126" t="e">
        <f t="shared" si="97"/>
        <v>#VALUE!</v>
      </c>
      <c r="AB258" s="1126" t="e">
        <f t="shared" si="98"/>
        <v>#VALUE!</v>
      </c>
      <c r="AC258" s="1126" t="e">
        <f t="shared" si="99"/>
        <v>#VALUE!</v>
      </c>
      <c r="AD258" s="1128" t="e">
        <f t="shared" si="100"/>
        <v>#VALUE!</v>
      </c>
      <c r="AE258" s="1128">
        <f t="shared" si="101"/>
        <v>0</v>
      </c>
      <c r="AF258" s="1096">
        <f>IF(H258&gt;8,tab!$B$51,tab!$B$54)</f>
        <v>0.5</v>
      </c>
      <c r="AG258" s="1097">
        <f t="shared" si="110"/>
        <v>0</v>
      </c>
      <c r="AH258" s="1093">
        <f t="shared" si="111"/>
        <v>0</v>
      </c>
      <c r="AI258" s="1120" t="e">
        <f>DATE(YEAR(tab!$F$3),MONTH(G258),DAY(G258))&gt;tab!$F$3</f>
        <v>#VALUE!</v>
      </c>
      <c r="AJ258" s="1097" t="e">
        <f t="shared" si="112"/>
        <v>#VALUE!</v>
      </c>
      <c r="AK258" s="1041">
        <f t="shared" si="113"/>
        <v>30</v>
      </c>
      <c r="AL258" s="1041">
        <f t="shared" si="114"/>
        <v>30</v>
      </c>
      <c r="AM258" s="1047">
        <f t="shared" si="115"/>
        <v>0</v>
      </c>
      <c r="AS258" s="727"/>
    </row>
    <row r="259" spans="3:45" ht="12.75" customHeight="1" x14ac:dyDescent="0.3">
      <c r="C259" s="122"/>
      <c r="D259" s="388" t="str">
        <f>IF(op!D192=0,"",op!D192)</f>
        <v/>
      </c>
      <c r="E259" s="388" t="str">
        <f>IF(op!E192=0,"",op!E192)</f>
        <v/>
      </c>
      <c r="F259" s="684" t="str">
        <f>IF(op!F192="","",op!F192+1)</f>
        <v/>
      </c>
      <c r="G259" s="710" t="str">
        <f>IF(op!G192="","",op!G192)</f>
        <v/>
      </c>
      <c r="H259" s="684" t="str">
        <f>IF(op!H192=0,"",op!H192)</f>
        <v/>
      </c>
      <c r="I259" s="389" t="str">
        <f>IF(J259="","",(IF(op!I192+1&gt;LOOKUP(H259,schaal2019,regels2019),op!I192,op!I192+1)))</f>
        <v/>
      </c>
      <c r="J259" s="711" t="str">
        <f>IF(op!J192="","",op!J192)</f>
        <v/>
      </c>
      <c r="K259" s="472"/>
      <c r="L259" s="1049">
        <f>IF(op!L192="","",op!L192)</f>
        <v>0</v>
      </c>
      <c r="M259" s="1049">
        <f>IF(op!M192="","",op!M192)</f>
        <v>0</v>
      </c>
      <c r="N259" s="1051" t="str">
        <f t="shared" si="91"/>
        <v/>
      </c>
      <c r="O259" s="1051" t="str">
        <f t="shared" si="92"/>
        <v/>
      </c>
      <c r="P259" s="1125" t="str">
        <f t="shared" si="93"/>
        <v/>
      </c>
      <c r="Q259" s="472"/>
      <c r="R259" s="923" t="str">
        <f t="shared" si="108"/>
        <v/>
      </c>
      <c r="S259" s="923" t="str">
        <f t="shared" si="94"/>
        <v/>
      </c>
      <c r="T259" s="925" t="str">
        <f t="shared" si="95"/>
        <v/>
      </c>
      <c r="U259" s="545"/>
      <c r="V259" s="1103"/>
      <c r="W259" s="1103"/>
      <c r="X259" s="1060"/>
      <c r="Y259" s="1095" t="e">
        <f t="shared" si="109"/>
        <v>#VALUE!</v>
      </c>
      <c r="Z259" s="1094">
        <f>tab!$B$50</f>
        <v>0.6</v>
      </c>
      <c r="AA259" s="1126" t="e">
        <f t="shared" si="97"/>
        <v>#VALUE!</v>
      </c>
      <c r="AB259" s="1126" t="e">
        <f t="shared" si="98"/>
        <v>#VALUE!</v>
      </c>
      <c r="AC259" s="1126" t="e">
        <f t="shared" si="99"/>
        <v>#VALUE!</v>
      </c>
      <c r="AD259" s="1128" t="e">
        <f t="shared" si="100"/>
        <v>#VALUE!</v>
      </c>
      <c r="AE259" s="1128">
        <f t="shared" si="101"/>
        <v>0</v>
      </c>
      <c r="AF259" s="1096">
        <f>IF(H259&gt;8,tab!$B$51,tab!$B$54)</f>
        <v>0.5</v>
      </c>
      <c r="AG259" s="1097">
        <f t="shared" si="110"/>
        <v>0</v>
      </c>
      <c r="AH259" s="1093">
        <f t="shared" si="111"/>
        <v>0</v>
      </c>
      <c r="AI259" s="1120" t="e">
        <f>DATE(YEAR(tab!$F$3),MONTH(G259),DAY(G259))&gt;tab!$F$3</f>
        <v>#VALUE!</v>
      </c>
      <c r="AJ259" s="1097" t="e">
        <f t="shared" si="112"/>
        <v>#VALUE!</v>
      </c>
      <c r="AK259" s="1041">
        <f t="shared" si="113"/>
        <v>30</v>
      </c>
      <c r="AL259" s="1041">
        <f t="shared" si="114"/>
        <v>30</v>
      </c>
      <c r="AM259" s="1047">
        <f t="shared" si="115"/>
        <v>0</v>
      </c>
      <c r="AS259" s="727"/>
    </row>
    <row r="260" spans="3:45" ht="12.75" customHeight="1" x14ac:dyDescent="0.3">
      <c r="C260" s="122"/>
      <c r="D260" s="388" t="str">
        <f>IF(op!D193=0,"",op!D193)</f>
        <v/>
      </c>
      <c r="E260" s="388" t="str">
        <f>IF(op!E193=0,"",op!E193)</f>
        <v/>
      </c>
      <c r="F260" s="684" t="str">
        <f>IF(op!F193="","",op!F193+1)</f>
        <v/>
      </c>
      <c r="G260" s="710" t="str">
        <f>IF(op!G193="","",op!G193)</f>
        <v/>
      </c>
      <c r="H260" s="684" t="str">
        <f>IF(op!H193=0,"",op!H193)</f>
        <v/>
      </c>
      <c r="I260" s="389" t="str">
        <f>IF(J260="","",(IF(op!I193+1&gt;LOOKUP(H260,schaal2019,regels2019),op!I193,op!I193+1)))</f>
        <v/>
      </c>
      <c r="J260" s="711" t="str">
        <f>IF(op!J193="","",op!J193)</f>
        <v/>
      </c>
      <c r="K260" s="472"/>
      <c r="L260" s="1049">
        <f>IF(op!L193="","",op!L193)</f>
        <v>0</v>
      </c>
      <c r="M260" s="1049">
        <f>IF(op!M193="","",op!M193)</f>
        <v>0</v>
      </c>
      <c r="N260" s="1051" t="str">
        <f t="shared" si="91"/>
        <v/>
      </c>
      <c r="O260" s="1051" t="str">
        <f t="shared" si="92"/>
        <v/>
      </c>
      <c r="P260" s="1125" t="str">
        <f t="shared" si="93"/>
        <v/>
      </c>
      <c r="Q260" s="472"/>
      <c r="R260" s="923" t="str">
        <f t="shared" si="108"/>
        <v/>
      </c>
      <c r="S260" s="923" t="str">
        <f t="shared" si="94"/>
        <v/>
      </c>
      <c r="T260" s="925" t="str">
        <f t="shared" si="95"/>
        <v/>
      </c>
      <c r="U260" s="545"/>
      <c r="V260" s="1103"/>
      <c r="W260" s="1103"/>
      <c r="X260" s="1060"/>
      <c r="Y260" s="1095" t="e">
        <f t="shared" si="109"/>
        <v>#VALUE!</v>
      </c>
      <c r="Z260" s="1094">
        <f>tab!$B$50</f>
        <v>0.6</v>
      </c>
      <c r="AA260" s="1126" t="e">
        <f t="shared" si="97"/>
        <v>#VALUE!</v>
      </c>
      <c r="AB260" s="1126" t="e">
        <f t="shared" si="98"/>
        <v>#VALUE!</v>
      </c>
      <c r="AC260" s="1126" t="e">
        <f t="shared" si="99"/>
        <v>#VALUE!</v>
      </c>
      <c r="AD260" s="1128" t="e">
        <f t="shared" si="100"/>
        <v>#VALUE!</v>
      </c>
      <c r="AE260" s="1128">
        <f t="shared" si="101"/>
        <v>0</v>
      </c>
      <c r="AF260" s="1096">
        <f>IF(H260&gt;8,tab!$B$51,tab!$B$54)</f>
        <v>0.5</v>
      </c>
      <c r="AG260" s="1097">
        <f t="shared" si="110"/>
        <v>0</v>
      </c>
      <c r="AH260" s="1093">
        <f t="shared" si="111"/>
        <v>0</v>
      </c>
      <c r="AI260" s="1120" t="e">
        <f>DATE(YEAR(tab!$F$3),MONTH(G260),DAY(G260))&gt;tab!$F$3</f>
        <v>#VALUE!</v>
      </c>
      <c r="AJ260" s="1097" t="e">
        <f t="shared" si="112"/>
        <v>#VALUE!</v>
      </c>
      <c r="AK260" s="1041">
        <f t="shared" si="113"/>
        <v>30</v>
      </c>
      <c r="AL260" s="1041">
        <f t="shared" si="114"/>
        <v>30</v>
      </c>
      <c r="AM260" s="1047">
        <f t="shared" si="115"/>
        <v>0</v>
      </c>
      <c r="AS260" s="727"/>
    </row>
    <row r="261" spans="3:45" ht="12.75" customHeight="1" x14ac:dyDescent="0.3">
      <c r="C261" s="122"/>
      <c r="D261" s="388" t="str">
        <f>IF(op!D194=0,"",op!D194)</f>
        <v/>
      </c>
      <c r="E261" s="388" t="str">
        <f>IF(op!E194=0,"",op!E194)</f>
        <v/>
      </c>
      <c r="F261" s="684" t="str">
        <f>IF(op!F194="","",op!F194+1)</f>
        <v/>
      </c>
      <c r="G261" s="710" t="str">
        <f>IF(op!G194="","",op!G194)</f>
        <v/>
      </c>
      <c r="H261" s="684" t="str">
        <f>IF(op!H194=0,"",op!H194)</f>
        <v/>
      </c>
      <c r="I261" s="389" t="str">
        <f>IF(J261="","",(IF(op!I194+1&gt;LOOKUP(H261,schaal2019,regels2019),op!I194,op!I194+1)))</f>
        <v/>
      </c>
      <c r="J261" s="711" t="str">
        <f>IF(op!J194="","",op!J194)</f>
        <v/>
      </c>
      <c r="K261" s="472"/>
      <c r="L261" s="1049">
        <f>IF(op!L194="","",op!L194)</f>
        <v>0</v>
      </c>
      <c r="M261" s="1049">
        <f>IF(op!M194="","",op!M194)</f>
        <v>0</v>
      </c>
      <c r="N261" s="1051" t="str">
        <f t="shared" si="91"/>
        <v/>
      </c>
      <c r="O261" s="1051" t="str">
        <f t="shared" si="92"/>
        <v/>
      </c>
      <c r="P261" s="1125" t="str">
        <f t="shared" si="93"/>
        <v/>
      </c>
      <c r="Q261" s="472"/>
      <c r="R261" s="923" t="str">
        <f t="shared" si="108"/>
        <v/>
      </c>
      <c r="S261" s="923" t="str">
        <f t="shared" si="94"/>
        <v/>
      </c>
      <c r="T261" s="925" t="str">
        <f t="shared" si="95"/>
        <v/>
      </c>
      <c r="U261" s="545"/>
      <c r="V261" s="1103"/>
      <c r="W261" s="1103"/>
      <c r="X261" s="1060"/>
      <c r="Y261" s="1095" t="e">
        <f t="shared" si="109"/>
        <v>#VALUE!</v>
      </c>
      <c r="Z261" s="1094">
        <f>tab!$B$50</f>
        <v>0.6</v>
      </c>
      <c r="AA261" s="1126" t="e">
        <f t="shared" si="97"/>
        <v>#VALUE!</v>
      </c>
      <c r="AB261" s="1126" t="e">
        <f t="shared" si="98"/>
        <v>#VALUE!</v>
      </c>
      <c r="AC261" s="1126" t="e">
        <f t="shared" si="99"/>
        <v>#VALUE!</v>
      </c>
      <c r="AD261" s="1128" t="e">
        <f t="shared" si="100"/>
        <v>#VALUE!</v>
      </c>
      <c r="AE261" s="1128">
        <f t="shared" si="101"/>
        <v>0</v>
      </c>
      <c r="AF261" s="1096">
        <f>IF(H261&gt;8,tab!$B$51,tab!$B$54)</f>
        <v>0.5</v>
      </c>
      <c r="AG261" s="1097">
        <f t="shared" si="110"/>
        <v>0</v>
      </c>
      <c r="AH261" s="1093">
        <f t="shared" si="111"/>
        <v>0</v>
      </c>
      <c r="AI261" s="1120" t="e">
        <f>DATE(YEAR(tab!$F$3),MONTH(G261),DAY(G261))&gt;tab!$F$3</f>
        <v>#VALUE!</v>
      </c>
      <c r="AJ261" s="1097" t="e">
        <f t="shared" si="112"/>
        <v>#VALUE!</v>
      </c>
      <c r="AK261" s="1041">
        <f t="shared" si="113"/>
        <v>30</v>
      </c>
      <c r="AL261" s="1041">
        <f t="shared" si="114"/>
        <v>30</v>
      </c>
      <c r="AM261" s="1047">
        <f t="shared" si="115"/>
        <v>0</v>
      </c>
      <c r="AS261" s="727"/>
    </row>
    <row r="262" spans="3:45" ht="12.75" customHeight="1" x14ac:dyDescent="0.3">
      <c r="C262" s="122"/>
      <c r="D262" s="388" t="str">
        <f>IF(op!D195=0,"",op!D195)</f>
        <v/>
      </c>
      <c r="E262" s="388" t="str">
        <f>IF(op!E195=0,"",op!E195)</f>
        <v/>
      </c>
      <c r="F262" s="684" t="str">
        <f>IF(op!F195="","",op!F195+1)</f>
        <v/>
      </c>
      <c r="G262" s="710" t="str">
        <f>IF(op!G195="","",op!G195)</f>
        <v/>
      </c>
      <c r="H262" s="684" t="str">
        <f>IF(op!H195=0,"",op!H195)</f>
        <v/>
      </c>
      <c r="I262" s="389" t="str">
        <f>IF(J262="","",(IF(op!I195+1&gt;LOOKUP(H262,schaal2019,regels2019),op!I195,op!I195+1)))</f>
        <v/>
      </c>
      <c r="J262" s="711" t="str">
        <f>IF(op!J195="","",op!J195)</f>
        <v/>
      </c>
      <c r="K262" s="472"/>
      <c r="L262" s="1049">
        <f>IF(op!L195="","",op!L195)</f>
        <v>0</v>
      </c>
      <c r="M262" s="1049">
        <f>IF(op!M195="","",op!M195)</f>
        <v>0</v>
      </c>
      <c r="N262" s="1051" t="str">
        <f t="shared" si="91"/>
        <v/>
      </c>
      <c r="O262" s="1051" t="str">
        <f t="shared" si="92"/>
        <v/>
      </c>
      <c r="P262" s="1125" t="str">
        <f t="shared" si="93"/>
        <v/>
      </c>
      <c r="Q262" s="472"/>
      <c r="R262" s="923" t="str">
        <f t="shared" si="108"/>
        <v/>
      </c>
      <c r="S262" s="923" t="str">
        <f t="shared" si="94"/>
        <v/>
      </c>
      <c r="T262" s="925" t="str">
        <f t="shared" si="95"/>
        <v/>
      </c>
      <c r="U262" s="545"/>
      <c r="V262" s="1103"/>
      <c r="W262" s="1103"/>
      <c r="X262" s="1060"/>
      <c r="Y262" s="1095" t="e">
        <f t="shared" si="109"/>
        <v>#VALUE!</v>
      </c>
      <c r="Z262" s="1094">
        <f>tab!$B$50</f>
        <v>0.6</v>
      </c>
      <c r="AA262" s="1126" t="e">
        <f t="shared" si="97"/>
        <v>#VALUE!</v>
      </c>
      <c r="AB262" s="1126" t="e">
        <f t="shared" si="98"/>
        <v>#VALUE!</v>
      </c>
      <c r="AC262" s="1126" t="e">
        <f t="shared" si="99"/>
        <v>#VALUE!</v>
      </c>
      <c r="AD262" s="1128" t="e">
        <f t="shared" si="100"/>
        <v>#VALUE!</v>
      </c>
      <c r="AE262" s="1128">
        <f t="shared" si="101"/>
        <v>0</v>
      </c>
      <c r="AF262" s="1096">
        <f>IF(H262&gt;8,tab!$B$51,tab!$B$54)</f>
        <v>0.5</v>
      </c>
      <c r="AG262" s="1097">
        <f t="shared" si="110"/>
        <v>0</v>
      </c>
      <c r="AH262" s="1093">
        <f t="shared" si="111"/>
        <v>0</v>
      </c>
      <c r="AI262" s="1120" t="e">
        <f>DATE(YEAR(tab!$F$3),MONTH(G262),DAY(G262))&gt;tab!$F$3</f>
        <v>#VALUE!</v>
      </c>
      <c r="AJ262" s="1097" t="e">
        <f t="shared" si="112"/>
        <v>#VALUE!</v>
      </c>
      <c r="AK262" s="1041">
        <f t="shared" si="113"/>
        <v>30</v>
      </c>
      <c r="AL262" s="1041">
        <f t="shared" si="114"/>
        <v>30</v>
      </c>
      <c r="AM262" s="1047">
        <f t="shared" si="115"/>
        <v>0</v>
      </c>
      <c r="AS262" s="727"/>
    </row>
    <row r="263" spans="3:45" ht="12.75" customHeight="1" x14ac:dyDescent="0.3">
      <c r="C263" s="122"/>
      <c r="D263" s="388" t="str">
        <f>IF(op!D196=0,"",op!D196)</f>
        <v/>
      </c>
      <c r="E263" s="388" t="str">
        <f>IF(op!E196=0,"",op!E196)</f>
        <v/>
      </c>
      <c r="F263" s="684" t="str">
        <f>IF(op!F196="","",op!F196+1)</f>
        <v/>
      </c>
      <c r="G263" s="710" t="str">
        <f>IF(op!G196="","",op!G196)</f>
        <v/>
      </c>
      <c r="H263" s="684" t="str">
        <f>IF(op!H196=0,"",op!H196)</f>
        <v/>
      </c>
      <c r="I263" s="389" t="str">
        <f>IF(J263="","",(IF(op!I196+1&gt;LOOKUP(H263,schaal2019,regels2019),op!I196,op!I196+1)))</f>
        <v/>
      </c>
      <c r="J263" s="711" t="str">
        <f>IF(op!J196="","",op!J196)</f>
        <v/>
      </c>
      <c r="K263" s="472"/>
      <c r="L263" s="1049">
        <f>IF(op!L196="","",op!L196)</f>
        <v>0</v>
      </c>
      <c r="M263" s="1049">
        <f>IF(op!M196="","",op!M196)</f>
        <v>0</v>
      </c>
      <c r="N263" s="1051" t="str">
        <f t="shared" si="91"/>
        <v/>
      </c>
      <c r="O263" s="1051" t="str">
        <f t="shared" si="92"/>
        <v/>
      </c>
      <c r="P263" s="1125" t="str">
        <f t="shared" si="93"/>
        <v/>
      </c>
      <c r="Q263" s="472"/>
      <c r="R263" s="923" t="str">
        <f t="shared" si="108"/>
        <v/>
      </c>
      <c r="S263" s="923" t="str">
        <f t="shared" si="94"/>
        <v/>
      </c>
      <c r="T263" s="925" t="str">
        <f t="shared" si="95"/>
        <v/>
      </c>
      <c r="U263" s="545"/>
      <c r="V263" s="1103"/>
      <c r="W263" s="1103"/>
      <c r="X263" s="1060"/>
      <c r="Y263" s="1095" t="e">
        <f t="shared" si="109"/>
        <v>#VALUE!</v>
      </c>
      <c r="Z263" s="1094">
        <f>tab!$B$50</f>
        <v>0.6</v>
      </c>
      <c r="AA263" s="1126" t="e">
        <f t="shared" si="97"/>
        <v>#VALUE!</v>
      </c>
      <c r="AB263" s="1126" t="e">
        <f t="shared" si="98"/>
        <v>#VALUE!</v>
      </c>
      <c r="AC263" s="1126" t="e">
        <f t="shared" si="99"/>
        <v>#VALUE!</v>
      </c>
      <c r="AD263" s="1128" t="e">
        <f t="shared" si="100"/>
        <v>#VALUE!</v>
      </c>
      <c r="AE263" s="1128">
        <f t="shared" si="101"/>
        <v>0</v>
      </c>
      <c r="AF263" s="1096">
        <f>IF(H263&gt;8,tab!$B$51,tab!$B$54)</f>
        <v>0.5</v>
      </c>
      <c r="AG263" s="1097">
        <f t="shared" si="110"/>
        <v>0</v>
      </c>
      <c r="AH263" s="1093">
        <f t="shared" si="111"/>
        <v>0</v>
      </c>
      <c r="AI263" s="1120" t="e">
        <f>DATE(YEAR(tab!$F$3),MONTH(G263),DAY(G263))&gt;tab!$F$3</f>
        <v>#VALUE!</v>
      </c>
      <c r="AJ263" s="1097" t="e">
        <f t="shared" si="112"/>
        <v>#VALUE!</v>
      </c>
      <c r="AK263" s="1041">
        <f t="shared" si="113"/>
        <v>30</v>
      </c>
      <c r="AL263" s="1041">
        <f t="shared" si="114"/>
        <v>30</v>
      </c>
      <c r="AM263" s="1047">
        <f t="shared" si="115"/>
        <v>0</v>
      </c>
      <c r="AS263" s="727"/>
    </row>
    <row r="264" spans="3:45" ht="12.75" customHeight="1" x14ac:dyDescent="0.3">
      <c r="C264" s="122"/>
      <c r="D264" s="388" t="str">
        <f>IF(op!D197=0,"",op!D197)</f>
        <v/>
      </c>
      <c r="E264" s="388" t="str">
        <f>IF(op!E197=0,"",op!E197)</f>
        <v/>
      </c>
      <c r="F264" s="684" t="str">
        <f>IF(op!F197="","",op!F197+1)</f>
        <v/>
      </c>
      <c r="G264" s="710" t="str">
        <f>IF(op!G197="","",op!G197)</f>
        <v/>
      </c>
      <c r="H264" s="684" t="str">
        <f>IF(op!H197=0,"",op!H197)</f>
        <v/>
      </c>
      <c r="I264" s="389" t="str">
        <f>IF(J264="","",(IF(op!I197+1&gt;LOOKUP(H264,schaal2019,regels2019),op!I197,op!I197+1)))</f>
        <v/>
      </c>
      <c r="J264" s="711" t="str">
        <f>IF(op!J197="","",op!J197)</f>
        <v/>
      </c>
      <c r="K264" s="472"/>
      <c r="L264" s="1049">
        <f>IF(op!L197="","",op!L197)</f>
        <v>0</v>
      </c>
      <c r="M264" s="1049">
        <f>IF(op!M197="","",op!M197)</f>
        <v>0</v>
      </c>
      <c r="N264" s="1051" t="str">
        <f t="shared" si="91"/>
        <v/>
      </c>
      <c r="O264" s="1051" t="str">
        <f t="shared" si="92"/>
        <v/>
      </c>
      <c r="P264" s="1125" t="str">
        <f t="shared" si="93"/>
        <v/>
      </c>
      <c r="Q264" s="472"/>
      <c r="R264" s="923" t="str">
        <f t="shared" si="108"/>
        <v/>
      </c>
      <c r="S264" s="923" t="str">
        <f t="shared" si="94"/>
        <v/>
      </c>
      <c r="T264" s="925" t="str">
        <f t="shared" si="95"/>
        <v/>
      </c>
      <c r="U264" s="545"/>
      <c r="V264" s="1103"/>
      <c r="W264" s="1103"/>
      <c r="X264" s="1060"/>
      <c r="Y264" s="1095" t="e">
        <f t="shared" si="109"/>
        <v>#VALUE!</v>
      </c>
      <c r="Z264" s="1094">
        <f>tab!$B$50</f>
        <v>0.6</v>
      </c>
      <c r="AA264" s="1126" t="e">
        <f t="shared" si="97"/>
        <v>#VALUE!</v>
      </c>
      <c r="AB264" s="1126" t="e">
        <f t="shared" si="98"/>
        <v>#VALUE!</v>
      </c>
      <c r="AC264" s="1126" t="e">
        <f t="shared" si="99"/>
        <v>#VALUE!</v>
      </c>
      <c r="AD264" s="1128" t="e">
        <f t="shared" si="100"/>
        <v>#VALUE!</v>
      </c>
      <c r="AE264" s="1128">
        <f t="shared" si="101"/>
        <v>0</v>
      </c>
      <c r="AF264" s="1096">
        <f>IF(H264&gt;8,tab!$B$51,tab!$B$54)</f>
        <v>0.5</v>
      </c>
      <c r="AG264" s="1097">
        <f t="shared" si="110"/>
        <v>0</v>
      </c>
      <c r="AH264" s="1093">
        <f t="shared" si="111"/>
        <v>0</v>
      </c>
      <c r="AI264" s="1120" t="e">
        <f>DATE(YEAR(tab!$F$3),MONTH(G264),DAY(G264))&gt;tab!$F$3</f>
        <v>#VALUE!</v>
      </c>
      <c r="AJ264" s="1097" t="e">
        <f t="shared" si="112"/>
        <v>#VALUE!</v>
      </c>
      <c r="AK264" s="1041">
        <f t="shared" si="113"/>
        <v>30</v>
      </c>
      <c r="AL264" s="1041">
        <f t="shared" si="114"/>
        <v>30</v>
      </c>
      <c r="AM264" s="1047">
        <f t="shared" si="115"/>
        <v>0</v>
      </c>
      <c r="AS264" s="727"/>
    </row>
    <row r="265" spans="3:45" ht="12.75" customHeight="1" x14ac:dyDescent="0.3">
      <c r="C265" s="122"/>
      <c r="D265" s="388" t="str">
        <f>IF(op!D198=0,"",op!D198)</f>
        <v/>
      </c>
      <c r="E265" s="388" t="str">
        <f>IF(op!E198=0,"",op!E198)</f>
        <v/>
      </c>
      <c r="F265" s="684" t="str">
        <f>IF(op!F198="","",op!F198+1)</f>
        <v/>
      </c>
      <c r="G265" s="710" t="str">
        <f>IF(op!G198="","",op!G198)</f>
        <v/>
      </c>
      <c r="H265" s="684" t="str">
        <f>IF(op!H198=0,"",op!H198)</f>
        <v/>
      </c>
      <c r="I265" s="389" t="str">
        <f>IF(J265="","",(IF(op!I198+1&gt;LOOKUP(H265,schaal2019,regels2019),op!I198,op!I198+1)))</f>
        <v/>
      </c>
      <c r="J265" s="711" t="str">
        <f>IF(op!J198="","",op!J198)</f>
        <v/>
      </c>
      <c r="K265" s="472"/>
      <c r="L265" s="1049">
        <f>IF(op!L198="","",op!L198)</f>
        <v>0</v>
      </c>
      <c r="M265" s="1049">
        <f>IF(op!M198="","",op!M198)</f>
        <v>0</v>
      </c>
      <c r="N265" s="1051" t="str">
        <f t="shared" si="91"/>
        <v/>
      </c>
      <c r="O265" s="1051" t="str">
        <f t="shared" si="92"/>
        <v/>
      </c>
      <c r="P265" s="1125" t="str">
        <f t="shared" si="93"/>
        <v/>
      </c>
      <c r="Q265" s="472"/>
      <c r="R265" s="923" t="str">
        <f t="shared" si="108"/>
        <v/>
      </c>
      <c r="S265" s="923" t="str">
        <f t="shared" si="94"/>
        <v/>
      </c>
      <c r="T265" s="925" t="str">
        <f t="shared" si="95"/>
        <v/>
      </c>
      <c r="U265" s="545"/>
      <c r="V265" s="1103"/>
      <c r="W265" s="1103"/>
      <c r="X265" s="1060"/>
      <c r="Y265" s="1095" t="e">
        <f t="shared" si="109"/>
        <v>#VALUE!</v>
      </c>
      <c r="Z265" s="1094">
        <f>tab!$B$50</f>
        <v>0.6</v>
      </c>
      <c r="AA265" s="1126" t="e">
        <f t="shared" si="97"/>
        <v>#VALUE!</v>
      </c>
      <c r="AB265" s="1126" t="e">
        <f t="shared" si="98"/>
        <v>#VALUE!</v>
      </c>
      <c r="AC265" s="1126" t="e">
        <f t="shared" si="99"/>
        <v>#VALUE!</v>
      </c>
      <c r="AD265" s="1128" t="e">
        <f t="shared" si="100"/>
        <v>#VALUE!</v>
      </c>
      <c r="AE265" s="1128">
        <f t="shared" si="101"/>
        <v>0</v>
      </c>
      <c r="AF265" s="1096">
        <f>IF(H265&gt;8,tab!$B$51,tab!$B$54)</f>
        <v>0.5</v>
      </c>
      <c r="AG265" s="1097">
        <f t="shared" si="110"/>
        <v>0</v>
      </c>
      <c r="AH265" s="1093">
        <f t="shared" si="111"/>
        <v>0</v>
      </c>
      <c r="AI265" s="1120" t="e">
        <f>DATE(YEAR(tab!$F$3),MONTH(G265),DAY(G265))&gt;tab!$F$3</f>
        <v>#VALUE!</v>
      </c>
      <c r="AJ265" s="1097" t="e">
        <f t="shared" si="112"/>
        <v>#VALUE!</v>
      </c>
      <c r="AK265" s="1041">
        <f t="shared" si="113"/>
        <v>30</v>
      </c>
      <c r="AL265" s="1041">
        <f t="shared" si="114"/>
        <v>30</v>
      </c>
      <c r="AM265" s="1047">
        <f t="shared" si="115"/>
        <v>0</v>
      </c>
      <c r="AS265" s="727"/>
    </row>
    <row r="266" spans="3:45" ht="12.75" customHeight="1" x14ac:dyDescent="0.3">
      <c r="C266" s="122"/>
      <c r="D266" s="388" t="str">
        <f>IF(op!D199=0,"",op!D199)</f>
        <v/>
      </c>
      <c r="E266" s="388" t="str">
        <f>IF(op!E199=0,"",op!E199)</f>
        <v/>
      </c>
      <c r="F266" s="684" t="str">
        <f>IF(op!F199="","",op!F199+1)</f>
        <v/>
      </c>
      <c r="G266" s="710" t="str">
        <f>IF(op!G199="","",op!G199)</f>
        <v/>
      </c>
      <c r="H266" s="684" t="str">
        <f>IF(op!H199=0,"",op!H199)</f>
        <v/>
      </c>
      <c r="I266" s="389" t="str">
        <f>IF(J266="","",(IF(op!I199+1&gt;LOOKUP(H266,schaal2019,regels2019),op!I199,op!I199+1)))</f>
        <v/>
      </c>
      <c r="J266" s="711" t="str">
        <f>IF(op!J199="","",op!J199)</f>
        <v/>
      </c>
      <c r="K266" s="472"/>
      <c r="L266" s="1049">
        <f>IF(op!L199="","",op!L199)</f>
        <v>0</v>
      </c>
      <c r="M266" s="1049">
        <f>IF(op!M199="","",op!M199)</f>
        <v>0</v>
      </c>
      <c r="N266" s="1051" t="str">
        <f t="shared" si="91"/>
        <v/>
      </c>
      <c r="O266" s="1051" t="str">
        <f t="shared" si="92"/>
        <v/>
      </c>
      <c r="P266" s="1125" t="str">
        <f t="shared" si="93"/>
        <v/>
      </c>
      <c r="Q266" s="472"/>
      <c r="R266" s="923" t="str">
        <f t="shared" si="108"/>
        <v/>
      </c>
      <c r="S266" s="923" t="str">
        <f t="shared" si="94"/>
        <v/>
      </c>
      <c r="T266" s="925" t="str">
        <f t="shared" si="95"/>
        <v/>
      </c>
      <c r="U266" s="545"/>
      <c r="V266" s="1103"/>
      <c r="W266" s="1103"/>
      <c r="X266" s="1060"/>
      <c r="Y266" s="1095" t="e">
        <f t="shared" si="109"/>
        <v>#VALUE!</v>
      </c>
      <c r="Z266" s="1094">
        <f>tab!$B$50</f>
        <v>0.6</v>
      </c>
      <c r="AA266" s="1126" t="e">
        <f t="shared" si="97"/>
        <v>#VALUE!</v>
      </c>
      <c r="AB266" s="1126" t="e">
        <f t="shared" si="98"/>
        <v>#VALUE!</v>
      </c>
      <c r="AC266" s="1126" t="e">
        <f t="shared" si="99"/>
        <v>#VALUE!</v>
      </c>
      <c r="AD266" s="1128" t="e">
        <f t="shared" si="100"/>
        <v>#VALUE!</v>
      </c>
      <c r="AE266" s="1128">
        <f t="shared" si="101"/>
        <v>0</v>
      </c>
      <c r="AF266" s="1096">
        <f>IF(H266&gt;8,tab!$B$51,tab!$B$54)</f>
        <v>0.5</v>
      </c>
      <c r="AG266" s="1097">
        <f t="shared" si="110"/>
        <v>0</v>
      </c>
      <c r="AH266" s="1093">
        <f t="shared" si="111"/>
        <v>0</v>
      </c>
      <c r="AI266" s="1120" t="e">
        <f>DATE(YEAR(tab!$F$3),MONTH(G266),DAY(G266))&gt;tab!$F$3</f>
        <v>#VALUE!</v>
      </c>
      <c r="AJ266" s="1097" t="e">
        <f t="shared" si="112"/>
        <v>#VALUE!</v>
      </c>
      <c r="AK266" s="1041">
        <f t="shared" si="113"/>
        <v>30</v>
      </c>
      <c r="AL266" s="1041">
        <f t="shared" si="114"/>
        <v>30</v>
      </c>
      <c r="AM266" s="1047">
        <f t="shared" si="115"/>
        <v>0</v>
      </c>
      <c r="AS266" s="727"/>
    </row>
    <row r="267" spans="3:45" ht="12.75" customHeight="1" x14ac:dyDescent="0.3">
      <c r="C267" s="122"/>
      <c r="D267" s="388" t="str">
        <f>IF(op!D200=0,"",op!D200)</f>
        <v/>
      </c>
      <c r="E267" s="388" t="str">
        <f>IF(op!E200=0,"",op!E200)</f>
        <v/>
      </c>
      <c r="F267" s="684" t="str">
        <f>IF(op!F200="","",op!F200+1)</f>
        <v/>
      </c>
      <c r="G267" s="710" t="str">
        <f>IF(op!G200="","",op!G200)</f>
        <v/>
      </c>
      <c r="H267" s="684" t="str">
        <f>IF(op!H200=0,"",op!H200)</f>
        <v/>
      </c>
      <c r="I267" s="389" t="str">
        <f>IF(J267="","",(IF(op!I200+1&gt;LOOKUP(H267,schaal2019,regels2019),op!I200,op!I200+1)))</f>
        <v/>
      </c>
      <c r="J267" s="711" t="str">
        <f>IF(op!J200="","",op!J200)</f>
        <v/>
      </c>
      <c r="K267" s="472"/>
      <c r="L267" s="1049">
        <f>IF(op!L200="","",op!L200)</f>
        <v>0</v>
      </c>
      <c r="M267" s="1049">
        <f>IF(op!M200="","",op!M200)</f>
        <v>0</v>
      </c>
      <c r="N267" s="1051" t="str">
        <f t="shared" si="91"/>
        <v/>
      </c>
      <c r="O267" s="1051" t="str">
        <f t="shared" si="92"/>
        <v/>
      </c>
      <c r="P267" s="1125" t="str">
        <f t="shared" si="93"/>
        <v/>
      </c>
      <c r="Q267" s="472"/>
      <c r="R267" s="923" t="str">
        <f t="shared" si="108"/>
        <v/>
      </c>
      <c r="S267" s="923" t="str">
        <f t="shared" si="94"/>
        <v/>
      </c>
      <c r="T267" s="925" t="str">
        <f t="shared" si="95"/>
        <v/>
      </c>
      <c r="U267" s="545"/>
      <c r="V267" s="1103"/>
      <c r="W267" s="1103"/>
      <c r="X267" s="1060"/>
      <c r="Y267" s="1095" t="e">
        <f t="shared" si="109"/>
        <v>#VALUE!</v>
      </c>
      <c r="Z267" s="1094">
        <f>tab!$B$50</f>
        <v>0.6</v>
      </c>
      <c r="AA267" s="1126" t="e">
        <f t="shared" si="97"/>
        <v>#VALUE!</v>
      </c>
      <c r="AB267" s="1126" t="e">
        <f t="shared" si="98"/>
        <v>#VALUE!</v>
      </c>
      <c r="AC267" s="1126" t="e">
        <f t="shared" si="99"/>
        <v>#VALUE!</v>
      </c>
      <c r="AD267" s="1128" t="e">
        <f t="shared" si="100"/>
        <v>#VALUE!</v>
      </c>
      <c r="AE267" s="1128">
        <f t="shared" si="101"/>
        <v>0</v>
      </c>
      <c r="AF267" s="1096">
        <f>IF(H267&gt;8,tab!$B$51,tab!$B$54)</f>
        <v>0.5</v>
      </c>
      <c r="AG267" s="1097">
        <f t="shared" si="110"/>
        <v>0</v>
      </c>
      <c r="AH267" s="1093">
        <f t="shared" si="111"/>
        <v>0</v>
      </c>
      <c r="AI267" s="1120" t="e">
        <f>DATE(YEAR(tab!$F$3),MONTH(G267),DAY(G267))&gt;tab!$F$3</f>
        <v>#VALUE!</v>
      </c>
      <c r="AJ267" s="1097" t="e">
        <f t="shared" si="112"/>
        <v>#VALUE!</v>
      </c>
      <c r="AK267" s="1041">
        <f t="shared" si="113"/>
        <v>30</v>
      </c>
      <c r="AL267" s="1041">
        <f t="shared" si="114"/>
        <v>30</v>
      </c>
      <c r="AM267" s="1047">
        <f t="shared" si="115"/>
        <v>0</v>
      </c>
      <c r="AS267" s="727"/>
    </row>
    <row r="268" spans="3:45" ht="12.75" customHeight="1" x14ac:dyDescent="0.3">
      <c r="C268" s="122"/>
      <c r="D268" s="388" t="str">
        <f>IF(op!D201=0,"",op!D201)</f>
        <v/>
      </c>
      <c r="E268" s="388" t="str">
        <f>IF(op!E201=0,"",op!E201)</f>
        <v/>
      </c>
      <c r="F268" s="684" t="str">
        <f>IF(op!F201="","",op!F201+1)</f>
        <v/>
      </c>
      <c r="G268" s="710" t="str">
        <f>IF(op!G201="","",op!G201)</f>
        <v/>
      </c>
      <c r="H268" s="684" t="str">
        <f>IF(op!H201=0,"",op!H201)</f>
        <v/>
      </c>
      <c r="I268" s="389" t="str">
        <f>IF(J268="","",(IF(op!I201+1&gt;LOOKUP(H268,schaal2019,regels2019),op!I201,op!I201+1)))</f>
        <v/>
      </c>
      <c r="J268" s="711" t="str">
        <f>IF(op!J201="","",op!J201)</f>
        <v/>
      </c>
      <c r="K268" s="472"/>
      <c r="L268" s="1049">
        <f>IF(op!L201="","",op!L201)</f>
        <v>0</v>
      </c>
      <c r="M268" s="1049">
        <f>IF(op!M201="","",op!M201)</f>
        <v>0</v>
      </c>
      <c r="N268" s="1051" t="str">
        <f t="shared" si="91"/>
        <v/>
      </c>
      <c r="O268" s="1051" t="str">
        <f t="shared" si="92"/>
        <v/>
      </c>
      <c r="P268" s="1125" t="str">
        <f t="shared" si="93"/>
        <v/>
      </c>
      <c r="Q268" s="472"/>
      <c r="R268" s="923" t="str">
        <f t="shared" si="108"/>
        <v/>
      </c>
      <c r="S268" s="923" t="str">
        <f t="shared" si="94"/>
        <v/>
      </c>
      <c r="T268" s="925" t="str">
        <f t="shared" si="95"/>
        <v/>
      </c>
      <c r="U268" s="545"/>
      <c r="V268" s="1103"/>
      <c r="W268" s="1103"/>
      <c r="X268" s="1060"/>
      <c r="Y268" s="1095" t="e">
        <f t="shared" si="109"/>
        <v>#VALUE!</v>
      </c>
      <c r="Z268" s="1094">
        <f>tab!$B$50</f>
        <v>0.6</v>
      </c>
      <c r="AA268" s="1126" t="e">
        <f t="shared" si="97"/>
        <v>#VALUE!</v>
      </c>
      <c r="AB268" s="1126" t="e">
        <f t="shared" si="98"/>
        <v>#VALUE!</v>
      </c>
      <c r="AC268" s="1126" t="e">
        <f t="shared" si="99"/>
        <v>#VALUE!</v>
      </c>
      <c r="AD268" s="1128" t="e">
        <f t="shared" si="100"/>
        <v>#VALUE!</v>
      </c>
      <c r="AE268" s="1128">
        <f t="shared" si="101"/>
        <v>0</v>
      </c>
      <c r="AF268" s="1096">
        <f>IF(H268&gt;8,tab!$B$51,tab!$B$54)</f>
        <v>0.5</v>
      </c>
      <c r="AG268" s="1097">
        <f t="shared" si="110"/>
        <v>0</v>
      </c>
      <c r="AH268" s="1093">
        <f t="shared" si="111"/>
        <v>0</v>
      </c>
      <c r="AI268" s="1120" t="e">
        <f>DATE(YEAR(tab!$F$3),MONTH(G268),DAY(G268))&gt;tab!$F$3</f>
        <v>#VALUE!</v>
      </c>
      <c r="AJ268" s="1097" t="e">
        <f t="shared" si="112"/>
        <v>#VALUE!</v>
      </c>
      <c r="AK268" s="1041">
        <f t="shared" si="113"/>
        <v>30</v>
      </c>
      <c r="AL268" s="1041">
        <f t="shared" si="114"/>
        <v>30</v>
      </c>
      <c r="AM268" s="1047">
        <f t="shared" si="115"/>
        <v>0</v>
      </c>
      <c r="AS268" s="727"/>
    </row>
    <row r="269" spans="3:45" ht="12.75" customHeight="1" x14ac:dyDescent="0.3">
      <c r="C269" s="122"/>
      <c r="D269" s="388" t="str">
        <f>IF(op!D202=0,"",op!D202)</f>
        <v/>
      </c>
      <c r="E269" s="388" t="str">
        <f>IF(op!E202=0,"",op!E202)</f>
        <v/>
      </c>
      <c r="F269" s="684" t="str">
        <f>IF(op!F202="","",op!F202+1)</f>
        <v/>
      </c>
      <c r="G269" s="710" t="str">
        <f>IF(op!G202="","",op!G202)</f>
        <v/>
      </c>
      <c r="H269" s="684" t="str">
        <f>IF(op!H202=0,"",op!H202)</f>
        <v/>
      </c>
      <c r="I269" s="389" t="str">
        <f>IF(J269="","",(IF(op!I202+1&gt;LOOKUP(H269,schaal2019,regels2019),op!I202,op!I202+1)))</f>
        <v/>
      </c>
      <c r="J269" s="711" t="str">
        <f>IF(op!J202="","",op!J202)</f>
        <v/>
      </c>
      <c r="K269" s="472"/>
      <c r="L269" s="1049">
        <f>IF(op!L202="","",op!L202)</f>
        <v>0</v>
      </c>
      <c r="M269" s="1049">
        <f>IF(op!M202="","",op!M202)</f>
        <v>0</v>
      </c>
      <c r="N269" s="1051" t="str">
        <f t="shared" si="91"/>
        <v/>
      </c>
      <c r="O269" s="1051" t="str">
        <f t="shared" si="92"/>
        <v/>
      </c>
      <c r="P269" s="1125" t="str">
        <f t="shared" si="93"/>
        <v/>
      </c>
      <c r="Q269" s="472"/>
      <c r="R269" s="923" t="str">
        <f t="shared" si="108"/>
        <v/>
      </c>
      <c r="S269" s="923" t="str">
        <f t="shared" si="94"/>
        <v/>
      </c>
      <c r="T269" s="925" t="str">
        <f t="shared" si="95"/>
        <v/>
      </c>
      <c r="U269" s="545"/>
      <c r="V269" s="1103"/>
      <c r="W269" s="1103"/>
      <c r="X269" s="1060"/>
      <c r="Y269" s="1095" t="e">
        <f t="shared" si="109"/>
        <v>#VALUE!</v>
      </c>
      <c r="Z269" s="1094">
        <f>tab!$B$50</f>
        <v>0.6</v>
      </c>
      <c r="AA269" s="1126" t="e">
        <f t="shared" si="97"/>
        <v>#VALUE!</v>
      </c>
      <c r="AB269" s="1126" t="e">
        <f t="shared" si="98"/>
        <v>#VALUE!</v>
      </c>
      <c r="AC269" s="1126" t="e">
        <f t="shared" si="99"/>
        <v>#VALUE!</v>
      </c>
      <c r="AD269" s="1128" t="e">
        <f t="shared" si="100"/>
        <v>#VALUE!</v>
      </c>
      <c r="AE269" s="1128">
        <f t="shared" si="101"/>
        <v>0</v>
      </c>
      <c r="AF269" s="1096">
        <f>IF(H269&gt;8,tab!$B$51,tab!$B$54)</f>
        <v>0.5</v>
      </c>
      <c r="AG269" s="1097">
        <f t="shared" si="110"/>
        <v>0</v>
      </c>
      <c r="AH269" s="1093">
        <f t="shared" si="111"/>
        <v>0</v>
      </c>
      <c r="AI269" s="1120" t="e">
        <f>DATE(YEAR(tab!$F$3),MONTH(G269),DAY(G269))&gt;tab!$F$3</f>
        <v>#VALUE!</v>
      </c>
      <c r="AJ269" s="1097" t="e">
        <f t="shared" si="112"/>
        <v>#VALUE!</v>
      </c>
      <c r="AK269" s="1041">
        <f t="shared" si="113"/>
        <v>30</v>
      </c>
      <c r="AL269" s="1041">
        <f t="shared" si="114"/>
        <v>30</v>
      </c>
      <c r="AM269" s="1047">
        <f t="shared" si="115"/>
        <v>0</v>
      </c>
      <c r="AS269" s="727"/>
    </row>
    <row r="270" spans="3:45" ht="12.75" customHeight="1" x14ac:dyDescent="0.3">
      <c r="C270" s="122"/>
      <c r="D270" s="388" t="str">
        <f>IF(op!D203=0,"",op!D203)</f>
        <v/>
      </c>
      <c r="E270" s="388" t="str">
        <f>IF(op!E203=0,"",op!E203)</f>
        <v/>
      </c>
      <c r="F270" s="684" t="str">
        <f>IF(op!F203="","",op!F203+1)</f>
        <v/>
      </c>
      <c r="G270" s="710" t="str">
        <f>IF(op!G203="","",op!G203)</f>
        <v/>
      </c>
      <c r="H270" s="684" t="str">
        <f>IF(op!H203=0,"",op!H203)</f>
        <v/>
      </c>
      <c r="I270" s="389" t="str">
        <f>IF(J270="","",(IF(op!I203+1&gt;LOOKUP(H270,schaal2019,regels2019),op!I203,op!I203+1)))</f>
        <v/>
      </c>
      <c r="J270" s="711" t="str">
        <f>IF(op!J203="","",op!J203)</f>
        <v/>
      </c>
      <c r="K270" s="472"/>
      <c r="L270" s="1049">
        <f>IF(op!L203="","",op!L203)</f>
        <v>0</v>
      </c>
      <c r="M270" s="1049">
        <f>IF(op!M203="","",op!M203)</f>
        <v>0</v>
      </c>
      <c r="N270" s="1051" t="str">
        <f t="shared" si="91"/>
        <v/>
      </c>
      <c r="O270" s="1051" t="str">
        <f t="shared" si="92"/>
        <v/>
      </c>
      <c r="P270" s="1125" t="str">
        <f t="shared" si="93"/>
        <v/>
      </c>
      <c r="Q270" s="472"/>
      <c r="R270" s="923" t="str">
        <f t="shared" si="108"/>
        <v/>
      </c>
      <c r="S270" s="923" t="str">
        <f t="shared" si="94"/>
        <v/>
      </c>
      <c r="T270" s="925" t="str">
        <f t="shared" si="95"/>
        <v/>
      </c>
      <c r="U270" s="545"/>
      <c r="V270" s="1103"/>
      <c r="W270" s="1103"/>
      <c r="X270" s="1060"/>
      <c r="Y270" s="1095" t="e">
        <f t="shared" si="109"/>
        <v>#VALUE!</v>
      </c>
      <c r="Z270" s="1094">
        <f>tab!$B$50</f>
        <v>0.6</v>
      </c>
      <c r="AA270" s="1126" t="e">
        <f t="shared" si="97"/>
        <v>#VALUE!</v>
      </c>
      <c r="AB270" s="1126" t="e">
        <f t="shared" si="98"/>
        <v>#VALUE!</v>
      </c>
      <c r="AC270" s="1126" t="e">
        <f t="shared" si="99"/>
        <v>#VALUE!</v>
      </c>
      <c r="AD270" s="1128" t="e">
        <f t="shared" si="100"/>
        <v>#VALUE!</v>
      </c>
      <c r="AE270" s="1128">
        <f t="shared" si="101"/>
        <v>0</v>
      </c>
      <c r="AF270" s="1096">
        <f>IF(H270&gt;8,tab!$B$51,tab!$B$54)</f>
        <v>0.5</v>
      </c>
      <c r="AG270" s="1097">
        <f t="shared" si="110"/>
        <v>0</v>
      </c>
      <c r="AH270" s="1093">
        <f t="shared" si="111"/>
        <v>0</v>
      </c>
      <c r="AI270" s="1120" t="e">
        <f>DATE(YEAR(tab!$F$3),MONTH(G270),DAY(G270))&gt;tab!$F$3</f>
        <v>#VALUE!</v>
      </c>
      <c r="AJ270" s="1097" t="e">
        <f t="shared" si="112"/>
        <v>#VALUE!</v>
      </c>
      <c r="AK270" s="1041">
        <f t="shared" si="113"/>
        <v>30</v>
      </c>
      <c r="AL270" s="1041">
        <f t="shared" si="114"/>
        <v>30</v>
      </c>
      <c r="AM270" s="1047">
        <f t="shared" si="115"/>
        <v>0</v>
      </c>
      <c r="AS270" s="727"/>
    </row>
    <row r="271" spans="3:45" ht="12.75" customHeight="1" x14ac:dyDescent="0.3">
      <c r="C271" s="122"/>
      <c r="D271" s="388" t="str">
        <f>IF(op!D204=0,"",op!D204)</f>
        <v/>
      </c>
      <c r="E271" s="388" t="str">
        <f>IF(op!E204=0,"",op!E204)</f>
        <v/>
      </c>
      <c r="F271" s="684" t="str">
        <f>IF(op!F204="","",op!F204+1)</f>
        <v/>
      </c>
      <c r="G271" s="710" t="str">
        <f>IF(op!G204="","",op!G204)</f>
        <v/>
      </c>
      <c r="H271" s="684" t="str">
        <f>IF(op!H204=0,"",op!H204)</f>
        <v/>
      </c>
      <c r="I271" s="389" t="str">
        <f>IF(J271="","",(IF(op!I204+1&gt;LOOKUP(H271,schaal2019,regels2019),op!I204,op!I204+1)))</f>
        <v/>
      </c>
      <c r="J271" s="711" t="str">
        <f>IF(op!J204="","",op!J204)</f>
        <v/>
      </c>
      <c r="K271" s="472"/>
      <c r="L271" s="1049">
        <f>IF(op!L204="","",op!L204)</f>
        <v>0</v>
      </c>
      <c r="M271" s="1049">
        <f>IF(op!M204="","",op!M204)</f>
        <v>0</v>
      </c>
      <c r="N271" s="1051" t="str">
        <f t="shared" si="91"/>
        <v/>
      </c>
      <c r="O271" s="1051" t="str">
        <f t="shared" si="92"/>
        <v/>
      </c>
      <c r="P271" s="1125" t="str">
        <f t="shared" si="93"/>
        <v/>
      </c>
      <c r="Q271" s="472"/>
      <c r="R271" s="923" t="str">
        <f t="shared" si="108"/>
        <v/>
      </c>
      <c r="S271" s="923" t="str">
        <f t="shared" si="94"/>
        <v/>
      </c>
      <c r="T271" s="925" t="str">
        <f t="shared" si="95"/>
        <v/>
      </c>
      <c r="U271" s="545"/>
      <c r="V271" s="1103"/>
      <c r="W271" s="1103"/>
      <c r="X271" s="1060"/>
      <c r="Y271" s="1095" t="e">
        <f t="shared" si="109"/>
        <v>#VALUE!</v>
      </c>
      <c r="Z271" s="1094">
        <f>tab!$B$50</f>
        <v>0.6</v>
      </c>
      <c r="AA271" s="1126" t="e">
        <f t="shared" si="97"/>
        <v>#VALUE!</v>
      </c>
      <c r="AB271" s="1126" t="e">
        <f t="shared" si="98"/>
        <v>#VALUE!</v>
      </c>
      <c r="AC271" s="1126" t="e">
        <f t="shared" si="99"/>
        <v>#VALUE!</v>
      </c>
      <c r="AD271" s="1128" t="e">
        <f t="shared" si="100"/>
        <v>#VALUE!</v>
      </c>
      <c r="AE271" s="1128">
        <f t="shared" si="101"/>
        <v>0</v>
      </c>
      <c r="AF271" s="1096">
        <f>IF(H271&gt;8,tab!$B$51,tab!$B$54)</f>
        <v>0.5</v>
      </c>
      <c r="AG271" s="1097">
        <f t="shared" si="110"/>
        <v>0</v>
      </c>
      <c r="AH271" s="1093">
        <f t="shared" si="111"/>
        <v>0</v>
      </c>
      <c r="AI271" s="1120" t="e">
        <f>DATE(YEAR(tab!$F$3),MONTH(G271),DAY(G271))&gt;tab!$F$3</f>
        <v>#VALUE!</v>
      </c>
      <c r="AJ271" s="1097" t="e">
        <f t="shared" si="112"/>
        <v>#VALUE!</v>
      </c>
      <c r="AK271" s="1041">
        <f t="shared" si="113"/>
        <v>30</v>
      </c>
      <c r="AL271" s="1041">
        <f t="shared" si="114"/>
        <v>30</v>
      </c>
      <c r="AM271" s="1047">
        <f t="shared" si="115"/>
        <v>0</v>
      </c>
      <c r="AS271" s="727"/>
    </row>
    <row r="272" spans="3:45" ht="12.75" customHeight="1" x14ac:dyDescent="0.3">
      <c r="C272" s="122"/>
      <c r="D272" s="388" t="str">
        <f>IF(op!D205=0,"",op!D205)</f>
        <v/>
      </c>
      <c r="E272" s="388" t="str">
        <f>IF(op!E205=0,"",op!E205)</f>
        <v/>
      </c>
      <c r="F272" s="684" t="str">
        <f>IF(op!F205="","",op!F205+1)</f>
        <v/>
      </c>
      <c r="G272" s="710" t="str">
        <f>IF(op!G205="","",op!G205)</f>
        <v/>
      </c>
      <c r="H272" s="684" t="str">
        <f>IF(op!H205=0,"",op!H205)</f>
        <v/>
      </c>
      <c r="I272" s="389" t="str">
        <f>IF(J272="","",(IF(op!I205+1&gt;LOOKUP(H272,schaal2019,regels2019),op!I205,op!I205+1)))</f>
        <v/>
      </c>
      <c r="J272" s="711" t="str">
        <f>IF(op!J205="","",op!J205)</f>
        <v/>
      </c>
      <c r="K272" s="472"/>
      <c r="L272" s="1049">
        <f>IF(op!L205="","",op!L205)</f>
        <v>0</v>
      </c>
      <c r="M272" s="1049">
        <f>IF(op!M205="","",op!M205)</f>
        <v>0</v>
      </c>
      <c r="N272" s="1051" t="str">
        <f t="shared" si="91"/>
        <v/>
      </c>
      <c r="O272" s="1051" t="str">
        <f t="shared" si="92"/>
        <v/>
      </c>
      <c r="P272" s="1125" t="str">
        <f t="shared" si="93"/>
        <v/>
      </c>
      <c r="Q272" s="472"/>
      <c r="R272" s="923" t="str">
        <f t="shared" si="108"/>
        <v/>
      </c>
      <c r="S272" s="923" t="str">
        <f t="shared" si="94"/>
        <v/>
      </c>
      <c r="T272" s="925" t="str">
        <f t="shared" si="95"/>
        <v/>
      </c>
      <c r="U272" s="545"/>
      <c r="V272" s="1103"/>
      <c r="W272" s="1103"/>
      <c r="X272" s="1060"/>
      <c r="Y272" s="1095" t="e">
        <f t="shared" si="109"/>
        <v>#VALUE!</v>
      </c>
      <c r="Z272" s="1094">
        <f>tab!$B$50</f>
        <v>0.6</v>
      </c>
      <c r="AA272" s="1126" t="e">
        <f t="shared" si="97"/>
        <v>#VALUE!</v>
      </c>
      <c r="AB272" s="1126" t="e">
        <f t="shared" si="98"/>
        <v>#VALUE!</v>
      </c>
      <c r="AC272" s="1126" t="e">
        <f t="shared" si="99"/>
        <v>#VALUE!</v>
      </c>
      <c r="AD272" s="1128" t="e">
        <f t="shared" si="100"/>
        <v>#VALUE!</v>
      </c>
      <c r="AE272" s="1128">
        <f t="shared" si="101"/>
        <v>0</v>
      </c>
      <c r="AF272" s="1096">
        <f>IF(H272&gt;8,tab!$B$51,tab!$B$54)</f>
        <v>0.5</v>
      </c>
      <c r="AG272" s="1097">
        <f t="shared" si="110"/>
        <v>0</v>
      </c>
      <c r="AH272" s="1093">
        <f t="shared" si="111"/>
        <v>0</v>
      </c>
      <c r="AI272" s="1120" t="e">
        <f>DATE(YEAR(tab!$F$3),MONTH(G272),DAY(G272))&gt;tab!$F$3</f>
        <v>#VALUE!</v>
      </c>
      <c r="AJ272" s="1097" t="e">
        <f t="shared" si="112"/>
        <v>#VALUE!</v>
      </c>
      <c r="AK272" s="1041">
        <f t="shared" si="113"/>
        <v>30</v>
      </c>
      <c r="AL272" s="1041">
        <f t="shared" si="114"/>
        <v>30</v>
      </c>
      <c r="AM272" s="1047">
        <f t="shared" si="115"/>
        <v>0</v>
      </c>
      <c r="AS272" s="727"/>
    </row>
    <row r="273" spans="3:50" ht="12.75" customHeight="1" x14ac:dyDescent="0.3">
      <c r="C273" s="122"/>
      <c r="D273" s="388" t="str">
        <f>IF(op!D206=0,"",op!D206)</f>
        <v/>
      </c>
      <c r="E273" s="388" t="str">
        <f>IF(op!E206=0,"",op!E206)</f>
        <v/>
      </c>
      <c r="F273" s="684" t="str">
        <f>IF(op!F206="","",op!F206+1)</f>
        <v/>
      </c>
      <c r="G273" s="710" t="str">
        <f>IF(op!G206="","",op!G206)</f>
        <v/>
      </c>
      <c r="H273" s="684" t="str">
        <f>IF(op!H206=0,"",op!H206)</f>
        <v/>
      </c>
      <c r="I273" s="389" t="str">
        <f>IF(J273="","",(IF(op!I206+1&gt;LOOKUP(H273,schaal2019,regels2019),op!I206,op!I206+1)))</f>
        <v/>
      </c>
      <c r="J273" s="711" t="str">
        <f>IF(op!J206="","",op!J206)</f>
        <v/>
      </c>
      <c r="K273" s="472"/>
      <c r="L273" s="1049">
        <f>IF(op!L206="","",op!L206)</f>
        <v>0</v>
      </c>
      <c r="M273" s="1049">
        <f>IF(op!M206="","",op!M206)</f>
        <v>0</v>
      </c>
      <c r="N273" s="1051" t="str">
        <f t="shared" si="91"/>
        <v/>
      </c>
      <c r="O273" s="1051" t="str">
        <f t="shared" si="92"/>
        <v/>
      </c>
      <c r="P273" s="1125" t="str">
        <f t="shared" si="93"/>
        <v/>
      </c>
      <c r="Q273" s="472"/>
      <c r="R273" s="923" t="str">
        <f t="shared" si="108"/>
        <v/>
      </c>
      <c r="S273" s="923" t="str">
        <f t="shared" si="94"/>
        <v/>
      </c>
      <c r="T273" s="925" t="str">
        <f t="shared" si="95"/>
        <v/>
      </c>
      <c r="U273" s="545"/>
      <c r="V273" s="1103"/>
      <c r="W273" s="1103"/>
      <c r="X273" s="1060"/>
      <c r="Y273" s="1095" t="e">
        <f t="shared" si="109"/>
        <v>#VALUE!</v>
      </c>
      <c r="Z273" s="1094">
        <f>tab!$B$50</f>
        <v>0.6</v>
      </c>
      <c r="AA273" s="1126" t="e">
        <f t="shared" si="97"/>
        <v>#VALUE!</v>
      </c>
      <c r="AB273" s="1126" t="e">
        <f t="shared" si="98"/>
        <v>#VALUE!</v>
      </c>
      <c r="AC273" s="1126" t="e">
        <f t="shared" si="99"/>
        <v>#VALUE!</v>
      </c>
      <c r="AD273" s="1128" t="e">
        <f t="shared" si="100"/>
        <v>#VALUE!</v>
      </c>
      <c r="AE273" s="1128">
        <f t="shared" si="101"/>
        <v>0</v>
      </c>
      <c r="AF273" s="1096">
        <f>IF(H273&gt;8,tab!$B$51,tab!$B$54)</f>
        <v>0.5</v>
      </c>
      <c r="AG273" s="1097">
        <f t="shared" si="110"/>
        <v>0</v>
      </c>
      <c r="AH273" s="1093">
        <f t="shared" si="111"/>
        <v>0</v>
      </c>
      <c r="AI273" s="1120" t="e">
        <f>DATE(YEAR(tab!$F$3),MONTH(G273),DAY(G273))&gt;tab!$F$3</f>
        <v>#VALUE!</v>
      </c>
      <c r="AJ273" s="1097" t="e">
        <f t="shared" si="112"/>
        <v>#VALUE!</v>
      </c>
      <c r="AK273" s="1041">
        <f t="shared" si="113"/>
        <v>30</v>
      </c>
      <c r="AL273" s="1041">
        <f t="shared" si="114"/>
        <v>30</v>
      </c>
      <c r="AM273" s="1047">
        <f t="shared" si="115"/>
        <v>0</v>
      </c>
      <c r="AS273" s="727"/>
    </row>
    <row r="274" spans="3:50" x14ac:dyDescent="0.3">
      <c r="C274" s="447"/>
      <c r="D274" s="551"/>
      <c r="E274" s="713"/>
      <c r="F274" s="713"/>
      <c r="G274" s="714"/>
      <c r="H274" s="713"/>
      <c r="I274" s="715"/>
      <c r="J274" s="958">
        <f>SUM(J219:J273)</f>
        <v>1</v>
      </c>
      <c r="L274" s="1050">
        <f t="shared" ref="L274:P274" si="116">SUM(L219:L273)</f>
        <v>0</v>
      </c>
      <c r="M274" s="1050">
        <f t="shared" si="116"/>
        <v>0</v>
      </c>
      <c r="N274" s="1050">
        <f>SUM(N219:N273)</f>
        <v>40</v>
      </c>
      <c r="O274" s="1050">
        <f t="shared" si="116"/>
        <v>0</v>
      </c>
      <c r="P274" s="1050">
        <f t="shared" si="116"/>
        <v>40</v>
      </c>
      <c r="R274" s="959">
        <f>SUM(R219:R273)</f>
        <v>78733.170343580481</v>
      </c>
      <c r="S274" s="960">
        <f t="shared" ref="S274:T274" si="117">SUM(S219:S273)</f>
        <v>1945.2296564195299</v>
      </c>
      <c r="T274" s="959">
        <f t="shared" si="117"/>
        <v>80678.400000000009</v>
      </c>
      <c r="U274" s="450"/>
      <c r="V274" s="1063"/>
      <c r="W274" s="1063"/>
      <c r="Y274" s="1095"/>
      <c r="Z274" s="1130"/>
      <c r="AA274" s="1098"/>
      <c r="AB274" s="1098"/>
      <c r="AC274" s="1098"/>
      <c r="AG274" s="1099">
        <f>SUM(AG219:AG273)</f>
        <v>0</v>
      </c>
      <c r="AH274" s="1100">
        <f>SUM(AH219:AH273)</f>
        <v>0</v>
      </c>
      <c r="AI274" s="1121"/>
      <c r="AJ274" s="1121"/>
      <c r="AS274" s="727"/>
    </row>
    <row r="275" spans="3:50" x14ac:dyDescent="0.3">
      <c r="H275" s="536"/>
      <c r="K275" s="440"/>
      <c r="Q275" s="440"/>
      <c r="R275" s="690"/>
      <c r="S275" s="716"/>
      <c r="V275" s="1063"/>
      <c r="W275" s="1063"/>
      <c r="Y275" s="1079"/>
      <c r="Z275" s="1130"/>
      <c r="AA275" s="1098"/>
      <c r="AB275" s="1098"/>
      <c r="AC275" s="1098"/>
      <c r="AG275" s="1099"/>
      <c r="AH275" s="1100"/>
      <c r="AS275" s="727"/>
    </row>
    <row r="276" spans="3:50" x14ac:dyDescent="0.3">
      <c r="V276" s="1063"/>
      <c r="W276" s="1063"/>
    </row>
    <row r="277" spans="3:50" x14ac:dyDescent="0.3">
      <c r="V277" s="1063"/>
      <c r="W277" s="1063"/>
    </row>
    <row r="278" spans="3:50" x14ac:dyDescent="0.3">
      <c r="C278" s="410" t="s">
        <v>180</v>
      </c>
      <c r="E278" s="729" t="str">
        <f>tab!F2</f>
        <v>2024/25</v>
      </c>
      <c r="V278" s="1063"/>
      <c r="W278" s="1063"/>
    </row>
    <row r="279" spans="3:50" x14ac:dyDescent="0.3">
      <c r="C279" s="410" t="s">
        <v>193</v>
      </c>
      <c r="E279" s="729">
        <f>tab!G3</f>
        <v>45566</v>
      </c>
      <c r="V279" s="1063"/>
      <c r="W279" s="1063"/>
    </row>
    <row r="280" spans="3:50" x14ac:dyDescent="0.3">
      <c r="V280" s="1063"/>
      <c r="W280" s="1063"/>
    </row>
    <row r="281" spans="3:50" ht="12.75" customHeight="1" x14ac:dyDescent="0.3">
      <c r="C281" s="682"/>
      <c r="D281" s="937"/>
      <c r="E281" s="938"/>
      <c r="F281" s="939"/>
      <c r="G281" s="940"/>
      <c r="H281" s="941"/>
      <c r="I281" s="941"/>
      <c r="J281" s="942"/>
      <c r="K281" s="943"/>
      <c r="L281" s="941"/>
      <c r="M281" s="941"/>
      <c r="N281" s="941"/>
      <c r="O281" s="941"/>
      <c r="P281" s="941"/>
      <c r="Q281" s="943"/>
      <c r="R281" s="943"/>
      <c r="S281" s="944"/>
      <c r="T281" s="945"/>
      <c r="U281" s="438"/>
      <c r="V281" s="1063"/>
      <c r="W281" s="1063"/>
      <c r="AN281" s="1044"/>
      <c r="AO281" s="1044"/>
      <c r="AP281" s="1044"/>
      <c r="AQ281" s="1044"/>
      <c r="AR281" s="953"/>
      <c r="AS281" s="693"/>
      <c r="AT281" s="695"/>
      <c r="AU281" s="707"/>
      <c r="AV281" s="694"/>
    </row>
    <row r="282" spans="3:50" ht="12.75" customHeight="1" x14ac:dyDescent="0.3">
      <c r="C282" s="125"/>
      <c r="D282" s="1033" t="s">
        <v>284</v>
      </c>
      <c r="E282" s="883"/>
      <c r="F282" s="883"/>
      <c r="G282" s="883"/>
      <c r="H282" s="883"/>
      <c r="I282" s="883"/>
      <c r="J282" s="883"/>
      <c r="K282" s="902"/>
      <c r="L282" s="1033" t="s">
        <v>502</v>
      </c>
      <c r="M282" s="1035"/>
      <c r="N282" s="1033"/>
      <c r="O282" s="1033"/>
      <c r="P282" s="1133"/>
      <c r="Q282" s="902"/>
      <c r="R282" s="1033" t="s">
        <v>503</v>
      </c>
      <c r="S282" s="1036"/>
      <c r="T282" s="1134"/>
      <c r="U282" s="1135"/>
      <c r="V282" s="1064"/>
      <c r="W282" s="1064"/>
      <c r="X282" s="384"/>
      <c r="Y282" s="1063"/>
      <c r="Z282" s="1136"/>
      <c r="AD282" s="1137"/>
      <c r="AE282" s="1137"/>
      <c r="AF282" s="1064"/>
      <c r="AG282" s="1090"/>
      <c r="AH282" s="1091"/>
      <c r="AM282" s="1041"/>
      <c r="AU282" s="410"/>
      <c r="AV282" s="410"/>
      <c r="AW282" s="725"/>
      <c r="AX282" s="725"/>
    </row>
    <row r="283" spans="3:50" ht="12.75" customHeight="1" x14ac:dyDescent="0.3">
      <c r="C283" s="125"/>
      <c r="D283" s="877" t="s">
        <v>494</v>
      </c>
      <c r="E283" s="877" t="s">
        <v>181</v>
      </c>
      <c r="F283" s="904" t="s">
        <v>137</v>
      </c>
      <c r="G283" s="905" t="s">
        <v>273</v>
      </c>
      <c r="H283" s="904" t="s">
        <v>206</v>
      </c>
      <c r="I283" s="904" t="s">
        <v>225</v>
      </c>
      <c r="J283" s="906" t="s">
        <v>140</v>
      </c>
      <c r="K283" s="881"/>
      <c r="L283" s="907" t="s">
        <v>479</v>
      </c>
      <c r="M283" s="907" t="s">
        <v>480</v>
      </c>
      <c r="N283" s="907" t="s">
        <v>478</v>
      </c>
      <c r="O283" s="907" t="s">
        <v>479</v>
      </c>
      <c r="P283" s="1138" t="s">
        <v>504</v>
      </c>
      <c r="Q283" s="881"/>
      <c r="R283" s="1037" t="s">
        <v>192</v>
      </c>
      <c r="S283" s="909" t="s">
        <v>505</v>
      </c>
      <c r="T283" s="910" t="s">
        <v>192</v>
      </c>
      <c r="U283" s="1139"/>
      <c r="V283" s="1101"/>
      <c r="W283" s="1101"/>
      <c r="X283" s="386"/>
      <c r="Y283" s="915" t="s">
        <v>303</v>
      </c>
      <c r="Z283" s="1127" t="s">
        <v>497</v>
      </c>
      <c r="AA283" s="1101" t="s">
        <v>498</v>
      </c>
      <c r="AB283" s="1101" t="s">
        <v>498</v>
      </c>
      <c r="AC283" s="1101" t="s">
        <v>495</v>
      </c>
      <c r="AD283" s="1048" t="s">
        <v>488</v>
      </c>
      <c r="AE283" s="1048" t="s">
        <v>489</v>
      </c>
      <c r="AF283" s="1101"/>
      <c r="AG283" s="1092" t="s">
        <v>297</v>
      </c>
      <c r="AH283" s="1091" t="s">
        <v>427</v>
      </c>
      <c r="AI283" s="916" t="s">
        <v>278</v>
      </c>
      <c r="AJ283" s="916" t="s">
        <v>279</v>
      </c>
      <c r="AK283" s="1059" t="s">
        <v>139</v>
      </c>
      <c r="AL283" s="1059" t="s">
        <v>204</v>
      </c>
      <c r="AM283" s="1058" t="s">
        <v>188</v>
      </c>
      <c r="AU283" s="410"/>
      <c r="AV283" s="410"/>
      <c r="AW283" s="725"/>
      <c r="AX283" s="726"/>
    </row>
    <row r="284" spans="3:50" ht="12.75" customHeight="1" x14ac:dyDescent="0.3">
      <c r="C284" s="125"/>
      <c r="D284" s="883"/>
      <c r="E284" s="877"/>
      <c r="F284" s="904" t="s">
        <v>138</v>
      </c>
      <c r="G284" s="905" t="s">
        <v>274</v>
      </c>
      <c r="H284" s="904"/>
      <c r="I284" s="904"/>
      <c r="J284" s="906" t="s">
        <v>277</v>
      </c>
      <c r="K284" s="881"/>
      <c r="L284" s="907" t="s">
        <v>482</v>
      </c>
      <c r="M284" s="907" t="s">
        <v>483</v>
      </c>
      <c r="N284" s="907" t="s">
        <v>481</v>
      </c>
      <c r="O284" s="907" t="s">
        <v>493</v>
      </c>
      <c r="P284" s="1138" t="s">
        <v>269</v>
      </c>
      <c r="Q284" s="881"/>
      <c r="R284" s="908" t="s">
        <v>506</v>
      </c>
      <c r="S284" s="909" t="s">
        <v>484</v>
      </c>
      <c r="T284" s="910" t="s">
        <v>269</v>
      </c>
      <c r="U284" s="887"/>
      <c r="V284" s="1063"/>
      <c r="W284" s="1063"/>
      <c r="X284" s="129"/>
      <c r="Y284" s="915" t="s">
        <v>197</v>
      </c>
      <c r="Z284" s="918">
        <f>tab!$B$50</f>
        <v>0.6</v>
      </c>
      <c r="AA284" s="1101" t="s">
        <v>499</v>
      </c>
      <c r="AB284" s="1101" t="s">
        <v>500</v>
      </c>
      <c r="AC284" s="1101" t="s">
        <v>501</v>
      </c>
      <c r="AD284" s="1048" t="s">
        <v>491</v>
      </c>
      <c r="AE284" s="1048" t="s">
        <v>491</v>
      </c>
      <c r="AG284" s="1092"/>
      <c r="AH284" s="1093" t="s">
        <v>224</v>
      </c>
      <c r="AI284" s="1048" t="s">
        <v>275</v>
      </c>
      <c r="AJ284" s="1048" t="s">
        <v>275</v>
      </c>
      <c r="AK284" s="1059"/>
      <c r="AL284" s="1059" t="s">
        <v>188</v>
      </c>
      <c r="AM284" s="1058"/>
      <c r="AU284" s="410"/>
      <c r="AV284" s="410"/>
      <c r="AX284" s="709"/>
    </row>
    <row r="285" spans="3:50" ht="12.75" customHeight="1" x14ac:dyDescent="0.3">
      <c r="C285" s="122"/>
      <c r="D285" s="883"/>
      <c r="E285" s="883"/>
      <c r="F285" s="946"/>
      <c r="G285" s="947"/>
      <c r="H285" s="904"/>
      <c r="I285" s="904"/>
      <c r="J285" s="906"/>
      <c r="K285" s="883"/>
      <c r="L285" s="907"/>
      <c r="M285" s="907"/>
      <c r="N285" s="907"/>
      <c r="O285" s="907"/>
      <c r="P285" s="907"/>
      <c r="Q285" s="883"/>
      <c r="R285" s="948"/>
      <c r="S285" s="909"/>
      <c r="T285" s="949"/>
      <c r="U285" s="443"/>
      <c r="V285" s="1063"/>
      <c r="W285" s="1063"/>
      <c r="Y285" s="915"/>
      <c r="Z285" s="1064"/>
      <c r="AA285" s="1064"/>
      <c r="AB285" s="1064"/>
      <c r="AC285" s="1064"/>
      <c r="AG285" s="1092"/>
      <c r="AH285" s="1093"/>
      <c r="AM285" s="1058"/>
      <c r="AU285" s="410"/>
      <c r="AV285" s="410"/>
      <c r="AX285" s="709"/>
    </row>
    <row r="286" spans="3:50" ht="12.75" customHeight="1" x14ac:dyDescent="0.3">
      <c r="C286" s="122"/>
      <c r="D286" s="388" t="str">
        <f>IF(op!D219=0,"",op!D219)</f>
        <v/>
      </c>
      <c r="E286" s="388" t="str">
        <f>IF(op!E219=0,"-",op!E219)</f>
        <v>nn</v>
      </c>
      <c r="F286" s="684" t="str">
        <f>IF(op!F219="","",op!F219+1)</f>
        <v/>
      </c>
      <c r="G286" s="710">
        <f>IF(op!G219="","",op!G219)</f>
        <v>28491</v>
      </c>
      <c r="H286" s="684" t="str">
        <f>IF(op!H219=0,"",op!H219)</f>
        <v>L11</v>
      </c>
      <c r="I286" s="389">
        <f>IF(J286="","",(IF(op!I219+1&gt;LOOKUP(H286,schaal2019,regels2019),op!I219,op!I219+1)))</f>
        <v>14</v>
      </c>
      <c r="J286" s="711">
        <f>IF(op!J219="","",op!J219)</f>
        <v>1</v>
      </c>
      <c r="K286" s="472"/>
      <c r="L286" s="1049">
        <f>IF(op!L219="","",op!L219)</f>
        <v>0</v>
      </c>
      <c r="M286" s="1049">
        <f>IF(op!M219="","",op!M219)</f>
        <v>0</v>
      </c>
      <c r="N286" s="1051">
        <f t="shared" ref="N286:N340" si="118">IF(J286="","",IF((J286*40)&gt;40,40,((J286*40))))</f>
        <v>40</v>
      </c>
      <c r="O286" s="1051">
        <f t="shared" ref="O286:O340" si="119">IF(J286="","",IF(I286&lt;4,(40*J286),0))</f>
        <v>0</v>
      </c>
      <c r="P286" s="1125">
        <f t="shared" ref="P286:P340" si="120">IF(J286="","",(SUM(L286:O286)))</f>
        <v>40</v>
      </c>
      <c r="Q286" s="472"/>
      <c r="R286" s="923">
        <f>IF(J286="","",(((1659*J286)-P286)*AB286))</f>
        <v>81412.57142857142</v>
      </c>
      <c r="S286" s="923">
        <f t="shared" ref="S286:S340" si="121">IF(J286="","",(P286*AC286)+(AA286*AD286)+((AE286*AA286*(1-AF286))))</f>
        <v>2011.4285714285716</v>
      </c>
      <c r="T286" s="925">
        <f t="shared" ref="T286:T340" si="122">IF(J286="","",(R286+S286))</f>
        <v>83423.999999999985</v>
      </c>
      <c r="U286" s="545"/>
      <c r="V286" s="1103"/>
      <c r="W286" s="1103"/>
      <c r="X286" s="1060"/>
      <c r="Y286" s="1095">
        <f t="shared" ref="Y286:Y317" si="123">ROUND(5/12*VLOOKUP(H286,salaris2021,I286+1,FALSE)+7/12*VLOOKUP(H286,salaris2021,I286+1,FALSE),0)</f>
        <v>4345</v>
      </c>
      <c r="Z286" s="1094">
        <f>tab!$B$50</f>
        <v>0.6</v>
      </c>
      <c r="AA286" s="1126">
        <f t="shared" ref="AA286:AA340" si="124">(Y286*12/1659)</f>
        <v>31.428571428571427</v>
      </c>
      <c r="AB286" s="1126">
        <f t="shared" ref="AB286:AB340" si="125">(Y286*12*(1+Z286))/1659</f>
        <v>50.285714285714285</v>
      </c>
      <c r="AC286" s="1126">
        <f t="shared" ref="AC286:AC340" si="126">AB286-AA286</f>
        <v>18.857142857142858</v>
      </c>
      <c r="AD286" s="1128">
        <f t="shared" ref="AD286:AD340" si="127">(N286+O286)</f>
        <v>40</v>
      </c>
      <c r="AE286" s="1128">
        <f t="shared" ref="AE286:AE340" si="128">(L286+M286)</f>
        <v>0</v>
      </c>
      <c r="AF286" s="1096">
        <f>IF(H286&gt;8,tab!$B$51,tab!$B$54)</f>
        <v>0.5</v>
      </c>
      <c r="AG286" s="1097">
        <f t="shared" ref="AG286:AG317" si="129">IF(F286&lt;25,0,IF(F286=25,25,IF(F286&lt;40,0,IF(F286=40,40,IF(F286&gt;=40,0)))))</f>
        <v>0</v>
      </c>
      <c r="AH286" s="1093">
        <f t="shared" ref="AH286:AH317" si="130">IF(AG286=25,(Y286*1.08*(J286)/2),IF(AG286=40,(Y286*1.08*(J286)),IF(AG286=0,0)))</f>
        <v>0</v>
      </c>
      <c r="AI286" s="1120" t="b">
        <f>DATE(YEAR(tab!$G$3),MONTH(G286),DAY(G286))&gt;tab!$G$3</f>
        <v>0</v>
      </c>
      <c r="AJ286" s="1097">
        <f t="shared" ref="AJ286:AJ317" si="131">YEAR($E$279)-YEAR(G286)-AI286</f>
        <v>46</v>
      </c>
      <c r="AK286" s="1041">
        <f t="shared" ref="AK286:AK317" si="132">IF((G286=""),30,AJ286)</f>
        <v>46</v>
      </c>
      <c r="AL286" s="1041">
        <f t="shared" ref="AL286:AL317" si="133">IF((AK286)&gt;50,50,(AK286))</f>
        <v>46</v>
      </c>
      <c r="AM286" s="1047">
        <f t="shared" ref="AM286:AM317" si="134">(AL286*(SUM(J286:J286)))</f>
        <v>46</v>
      </c>
      <c r="AS286" s="727"/>
    </row>
    <row r="287" spans="3:50" ht="12.75" customHeight="1" x14ac:dyDescent="0.3">
      <c r="C287" s="122"/>
      <c r="D287" s="388" t="str">
        <f>IF(op!D220=0,"",op!D220)</f>
        <v/>
      </c>
      <c r="E287" s="388" t="str">
        <f>IF(op!E220=0,"-",op!E220)</f>
        <v/>
      </c>
      <c r="F287" s="684" t="str">
        <f>IF(op!F220="","",op!F220+1)</f>
        <v/>
      </c>
      <c r="G287" s="710" t="str">
        <f>IF(op!G220="","",op!G220)</f>
        <v/>
      </c>
      <c r="H287" s="684" t="str">
        <f>IF(op!H220=0,"",op!H220)</f>
        <v/>
      </c>
      <c r="I287" s="389" t="str">
        <f>IF(J287="","",(IF(op!I220+1&gt;LOOKUP(H287,schaal2019,regels2019),op!I220,op!I220+1)))</f>
        <v/>
      </c>
      <c r="J287" s="711" t="str">
        <f>IF(op!J220="","",op!J220)</f>
        <v/>
      </c>
      <c r="K287" s="472"/>
      <c r="L287" s="1049">
        <f>IF(op!L220="","",op!L220)</f>
        <v>0</v>
      </c>
      <c r="M287" s="1049">
        <f>IF(op!M220="","",op!M220)</f>
        <v>0</v>
      </c>
      <c r="N287" s="1051" t="str">
        <f t="shared" si="118"/>
        <v/>
      </c>
      <c r="O287" s="1051" t="str">
        <f t="shared" si="119"/>
        <v/>
      </c>
      <c r="P287" s="1125" t="str">
        <f t="shared" si="120"/>
        <v/>
      </c>
      <c r="Q287" s="472"/>
      <c r="R287" s="923" t="str">
        <f>IF(J287="","",(((1659*J287)-P287)*AB287))</f>
        <v/>
      </c>
      <c r="S287" s="923" t="str">
        <f t="shared" si="121"/>
        <v/>
      </c>
      <c r="T287" s="925" t="str">
        <f t="shared" si="122"/>
        <v/>
      </c>
      <c r="U287" s="545"/>
      <c r="V287" s="1103"/>
      <c r="W287" s="1103"/>
      <c r="X287" s="1060"/>
      <c r="Y287" s="1095" t="e">
        <f t="shared" si="123"/>
        <v>#VALUE!</v>
      </c>
      <c r="Z287" s="1094">
        <f>tab!$B$50</f>
        <v>0.6</v>
      </c>
      <c r="AA287" s="1126" t="e">
        <f t="shared" si="124"/>
        <v>#VALUE!</v>
      </c>
      <c r="AB287" s="1126" t="e">
        <f t="shared" si="125"/>
        <v>#VALUE!</v>
      </c>
      <c r="AC287" s="1126" t="e">
        <f t="shared" si="126"/>
        <v>#VALUE!</v>
      </c>
      <c r="AD287" s="1128" t="e">
        <f t="shared" si="127"/>
        <v>#VALUE!</v>
      </c>
      <c r="AE287" s="1128">
        <f t="shared" si="128"/>
        <v>0</v>
      </c>
      <c r="AF287" s="1096">
        <f>IF(H287&gt;8,tab!$B$51,tab!$B$54)</f>
        <v>0.5</v>
      </c>
      <c r="AG287" s="1097">
        <f t="shared" si="129"/>
        <v>0</v>
      </c>
      <c r="AH287" s="1093">
        <f t="shared" si="130"/>
        <v>0</v>
      </c>
      <c r="AI287" s="1120" t="e">
        <f>DATE(YEAR(tab!$G$3),MONTH(G287),DAY(G287))&gt;tab!$G$3</f>
        <v>#VALUE!</v>
      </c>
      <c r="AJ287" s="1120" t="e">
        <f t="shared" si="131"/>
        <v>#VALUE!</v>
      </c>
      <c r="AK287" s="1041">
        <f t="shared" si="132"/>
        <v>30</v>
      </c>
      <c r="AL287" s="1041">
        <f t="shared" si="133"/>
        <v>30</v>
      </c>
      <c r="AM287" s="1047">
        <f t="shared" si="134"/>
        <v>0</v>
      </c>
      <c r="AS287" s="727"/>
    </row>
    <row r="288" spans="3:50" ht="12.75" customHeight="1" x14ac:dyDescent="0.3">
      <c r="C288" s="122"/>
      <c r="D288" s="388" t="str">
        <f>IF(op!D221=0,"",op!D221)</f>
        <v/>
      </c>
      <c r="E288" s="388" t="str">
        <f>IF(op!E221=0,"-",op!E221)</f>
        <v/>
      </c>
      <c r="F288" s="684" t="str">
        <f>IF(op!F221="","",op!F221+1)</f>
        <v/>
      </c>
      <c r="G288" s="710" t="str">
        <f>IF(op!G221="","",op!G221)</f>
        <v/>
      </c>
      <c r="H288" s="684" t="str">
        <f>IF(op!H221=0,"",op!H221)</f>
        <v/>
      </c>
      <c r="I288" s="389" t="str">
        <f>IF(J288="","",(IF(op!I221+1&gt;LOOKUP(H288,schaal2019,regels2019),op!I221,op!I221+1)))</f>
        <v/>
      </c>
      <c r="J288" s="711" t="str">
        <f>IF(op!J221="","",op!J221)</f>
        <v/>
      </c>
      <c r="K288" s="472"/>
      <c r="L288" s="1049">
        <f>IF(op!L221="","",op!L221)</f>
        <v>0</v>
      </c>
      <c r="M288" s="1049">
        <f>IF(op!M221="","",op!M221)</f>
        <v>0</v>
      </c>
      <c r="N288" s="1051" t="str">
        <f t="shared" si="118"/>
        <v/>
      </c>
      <c r="O288" s="1051" t="str">
        <f t="shared" si="119"/>
        <v/>
      </c>
      <c r="P288" s="1125" t="str">
        <f t="shared" si="120"/>
        <v/>
      </c>
      <c r="Q288" s="472"/>
      <c r="R288" s="923" t="str">
        <f t="shared" ref="R288:R340" si="135">IF(J288="","",(((1659*J288)-P288)*AB288))</f>
        <v/>
      </c>
      <c r="S288" s="923" t="str">
        <f t="shared" si="121"/>
        <v/>
      </c>
      <c r="T288" s="925" t="str">
        <f t="shared" si="122"/>
        <v/>
      </c>
      <c r="U288" s="545"/>
      <c r="V288" s="1103"/>
      <c r="W288" s="1103"/>
      <c r="X288" s="1060"/>
      <c r="Y288" s="1095" t="e">
        <f t="shared" si="123"/>
        <v>#VALUE!</v>
      </c>
      <c r="Z288" s="1094">
        <f>tab!$B$50</f>
        <v>0.6</v>
      </c>
      <c r="AA288" s="1126" t="e">
        <f t="shared" si="124"/>
        <v>#VALUE!</v>
      </c>
      <c r="AB288" s="1126" t="e">
        <f t="shared" si="125"/>
        <v>#VALUE!</v>
      </c>
      <c r="AC288" s="1126" t="e">
        <f t="shared" si="126"/>
        <v>#VALUE!</v>
      </c>
      <c r="AD288" s="1128" t="e">
        <f t="shared" si="127"/>
        <v>#VALUE!</v>
      </c>
      <c r="AE288" s="1128">
        <f t="shared" si="128"/>
        <v>0</v>
      </c>
      <c r="AF288" s="1096">
        <f>IF(H288&gt;8,tab!$B$51,tab!$B$54)</f>
        <v>0.5</v>
      </c>
      <c r="AG288" s="1097">
        <f t="shared" si="129"/>
        <v>0</v>
      </c>
      <c r="AH288" s="1093">
        <f t="shared" si="130"/>
        <v>0</v>
      </c>
      <c r="AI288" s="1120" t="e">
        <f>DATE(YEAR(tab!$G$3),MONTH(G288),DAY(G288))&gt;tab!$G$3</f>
        <v>#VALUE!</v>
      </c>
      <c r="AJ288" s="1120" t="e">
        <f t="shared" si="131"/>
        <v>#VALUE!</v>
      </c>
      <c r="AK288" s="1041">
        <f t="shared" si="132"/>
        <v>30</v>
      </c>
      <c r="AL288" s="1041">
        <f t="shared" si="133"/>
        <v>30</v>
      </c>
      <c r="AM288" s="1047">
        <f t="shared" si="134"/>
        <v>0</v>
      </c>
      <c r="AS288" s="727"/>
    </row>
    <row r="289" spans="3:45" ht="12.75" customHeight="1" x14ac:dyDescent="0.3">
      <c r="C289" s="122"/>
      <c r="D289" s="388" t="str">
        <f>IF(op!D222=0,"",op!D222)</f>
        <v/>
      </c>
      <c r="E289" s="388" t="str">
        <f>IF(op!E222=0,"-",op!E222)</f>
        <v/>
      </c>
      <c r="F289" s="684" t="str">
        <f>IF(op!F222="","",op!F222+1)</f>
        <v/>
      </c>
      <c r="G289" s="710" t="str">
        <f>IF(op!G222="","",op!G222)</f>
        <v/>
      </c>
      <c r="H289" s="684" t="str">
        <f>IF(op!H222=0,"",op!H222)</f>
        <v/>
      </c>
      <c r="I289" s="389" t="str">
        <f>IF(J289="","",(IF(op!I222+1&gt;LOOKUP(H289,schaal2019,regels2019),op!I222,op!I222+1)))</f>
        <v/>
      </c>
      <c r="J289" s="711" t="str">
        <f>IF(op!J222="","",op!J222)</f>
        <v/>
      </c>
      <c r="K289" s="472"/>
      <c r="L289" s="1049">
        <f>IF(op!L222="","",op!L222)</f>
        <v>0</v>
      </c>
      <c r="M289" s="1049">
        <f>IF(op!M222="","",op!M222)</f>
        <v>0</v>
      </c>
      <c r="N289" s="1051" t="str">
        <f t="shared" si="118"/>
        <v/>
      </c>
      <c r="O289" s="1051" t="str">
        <f t="shared" si="119"/>
        <v/>
      </c>
      <c r="P289" s="1125" t="str">
        <f t="shared" si="120"/>
        <v/>
      </c>
      <c r="Q289" s="472"/>
      <c r="R289" s="923" t="str">
        <f t="shared" si="135"/>
        <v/>
      </c>
      <c r="S289" s="923" t="str">
        <f t="shared" si="121"/>
        <v/>
      </c>
      <c r="T289" s="925" t="str">
        <f t="shared" si="122"/>
        <v/>
      </c>
      <c r="U289" s="545"/>
      <c r="V289" s="1103"/>
      <c r="W289" s="1103"/>
      <c r="X289" s="1060"/>
      <c r="Y289" s="1095" t="e">
        <f t="shared" si="123"/>
        <v>#VALUE!</v>
      </c>
      <c r="Z289" s="1094">
        <f>tab!$B$50</f>
        <v>0.6</v>
      </c>
      <c r="AA289" s="1126" t="e">
        <f t="shared" si="124"/>
        <v>#VALUE!</v>
      </c>
      <c r="AB289" s="1126" t="e">
        <f t="shared" si="125"/>
        <v>#VALUE!</v>
      </c>
      <c r="AC289" s="1126" t="e">
        <f t="shared" si="126"/>
        <v>#VALUE!</v>
      </c>
      <c r="AD289" s="1128" t="e">
        <f t="shared" si="127"/>
        <v>#VALUE!</v>
      </c>
      <c r="AE289" s="1128">
        <f t="shared" si="128"/>
        <v>0</v>
      </c>
      <c r="AF289" s="1096">
        <f>IF(H289&gt;8,tab!$B$51,tab!$B$54)</f>
        <v>0.5</v>
      </c>
      <c r="AG289" s="1097">
        <f t="shared" si="129"/>
        <v>0</v>
      </c>
      <c r="AH289" s="1093">
        <f t="shared" si="130"/>
        <v>0</v>
      </c>
      <c r="AI289" s="1120" t="e">
        <f>DATE(YEAR(tab!$G$3),MONTH(G289),DAY(G289))&gt;tab!$G$3</f>
        <v>#VALUE!</v>
      </c>
      <c r="AJ289" s="1120" t="e">
        <f t="shared" si="131"/>
        <v>#VALUE!</v>
      </c>
      <c r="AK289" s="1041">
        <f t="shared" si="132"/>
        <v>30</v>
      </c>
      <c r="AL289" s="1041">
        <f t="shared" si="133"/>
        <v>30</v>
      </c>
      <c r="AM289" s="1047">
        <f t="shared" si="134"/>
        <v>0</v>
      </c>
      <c r="AS289" s="727"/>
    </row>
    <row r="290" spans="3:45" ht="12.75" customHeight="1" x14ac:dyDescent="0.3">
      <c r="C290" s="122"/>
      <c r="D290" s="388" t="str">
        <f>IF(op!D223=0,"",op!D223)</f>
        <v/>
      </c>
      <c r="E290" s="388" t="str">
        <f>IF(op!E223=0,"-",op!E223)</f>
        <v/>
      </c>
      <c r="F290" s="684" t="str">
        <f>IF(op!F223="","",op!F223+1)</f>
        <v/>
      </c>
      <c r="G290" s="710" t="str">
        <f>IF(op!G223="","",op!G223)</f>
        <v/>
      </c>
      <c r="H290" s="684" t="str">
        <f>IF(op!H223=0,"",op!H223)</f>
        <v/>
      </c>
      <c r="I290" s="389" t="str">
        <f>IF(J290="","",(IF(op!I223+1&gt;LOOKUP(H290,schaal2019,regels2019),op!I223,op!I223+1)))</f>
        <v/>
      </c>
      <c r="J290" s="711" t="str">
        <f>IF(op!J223="","",op!J223)</f>
        <v/>
      </c>
      <c r="K290" s="472"/>
      <c r="L290" s="1049">
        <f>IF(op!L223="","",op!L223)</f>
        <v>0</v>
      </c>
      <c r="M290" s="1049">
        <f>IF(op!M223="","",op!M223)</f>
        <v>0</v>
      </c>
      <c r="N290" s="1051" t="str">
        <f t="shared" si="118"/>
        <v/>
      </c>
      <c r="O290" s="1051" t="str">
        <f t="shared" si="119"/>
        <v/>
      </c>
      <c r="P290" s="1125" t="str">
        <f t="shared" si="120"/>
        <v/>
      </c>
      <c r="Q290" s="472"/>
      <c r="R290" s="923" t="str">
        <f t="shared" si="135"/>
        <v/>
      </c>
      <c r="S290" s="923" t="str">
        <f t="shared" si="121"/>
        <v/>
      </c>
      <c r="T290" s="925" t="str">
        <f t="shared" si="122"/>
        <v/>
      </c>
      <c r="U290" s="545"/>
      <c r="V290" s="1103"/>
      <c r="W290" s="1103"/>
      <c r="X290" s="1060"/>
      <c r="Y290" s="1095" t="e">
        <f t="shared" si="123"/>
        <v>#VALUE!</v>
      </c>
      <c r="Z290" s="1094">
        <f>tab!$B$50</f>
        <v>0.6</v>
      </c>
      <c r="AA290" s="1126" t="e">
        <f t="shared" si="124"/>
        <v>#VALUE!</v>
      </c>
      <c r="AB290" s="1126" t="e">
        <f t="shared" si="125"/>
        <v>#VALUE!</v>
      </c>
      <c r="AC290" s="1126" t="e">
        <f t="shared" si="126"/>
        <v>#VALUE!</v>
      </c>
      <c r="AD290" s="1128" t="e">
        <f t="shared" si="127"/>
        <v>#VALUE!</v>
      </c>
      <c r="AE290" s="1128">
        <f t="shared" si="128"/>
        <v>0</v>
      </c>
      <c r="AF290" s="1096">
        <f>IF(H290&gt;8,tab!$B$51,tab!$B$54)</f>
        <v>0.5</v>
      </c>
      <c r="AG290" s="1097">
        <f t="shared" si="129"/>
        <v>0</v>
      </c>
      <c r="AH290" s="1093">
        <f t="shared" si="130"/>
        <v>0</v>
      </c>
      <c r="AI290" s="1120" t="e">
        <f>DATE(YEAR(tab!$G$3),MONTH(G290),DAY(G290))&gt;tab!$G$3</f>
        <v>#VALUE!</v>
      </c>
      <c r="AJ290" s="1120" t="e">
        <f t="shared" si="131"/>
        <v>#VALUE!</v>
      </c>
      <c r="AK290" s="1041">
        <f t="shared" si="132"/>
        <v>30</v>
      </c>
      <c r="AL290" s="1041">
        <f t="shared" si="133"/>
        <v>30</v>
      </c>
      <c r="AM290" s="1047">
        <f t="shared" si="134"/>
        <v>0</v>
      </c>
      <c r="AS290" s="727"/>
    </row>
    <row r="291" spans="3:45" ht="12.75" customHeight="1" x14ac:dyDescent="0.3">
      <c r="C291" s="122"/>
      <c r="D291" s="388" t="str">
        <f>IF(op!D224=0,"",op!D224)</f>
        <v/>
      </c>
      <c r="E291" s="388" t="str">
        <f>IF(op!E224=0,"-",op!E224)</f>
        <v/>
      </c>
      <c r="F291" s="684" t="str">
        <f>IF(op!F224="","",op!F224+1)</f>
        <v/>
      </c>
      <c r="G291" s="710" t="str">
        <f>IF(op!G224="","",op!G224)</f>
        <v/>
      </c>
      <c r="H291" s="684" t="str">
        <f>IF(op!H224=0,"",op!H224)</f>
        <v/>
      </c>
      <c r="I291" s="389" t="str">
        <f>IF(J291="","",(IF(op!I224+1&gt;LOOKUP(H291,schaal2019,regels2019),op!I224,op!I224+1)))</f>
        <v/>
      </c>
      <c r="J291" s="711" t="str">
        <f>IF(op!J224="","",op!J224)</f>
        <v/>
      </c>
      <c r="K291" s="472"/>
      <c r="L291" s="1049">
        <f>IF(op!L224="","",op!L224)</f>
        <v>0</v>
      </c>
      <c r="M291" s="1049">
        <f>IF(op!M224="","",op!M224)</f>
        <v>0</v>
      </c>
      <c r="N291" s="1051" t="str">
        <f t="shared" si="118"/>
        <v/>
      </c>
      <c r="O291" s="1051" t="str">
        <f t="shared" si="119"/>
        <v/>
      </c>
      <c r="P291" s="1125" t="str">
        <f t="shared" si="120"/>
        <v/>
      </c>
      <c r="Q291" s="472"/>
      <c r="R291" s="923" t="str">
        <f t="shared" si="135"/>
        <v/>
      </c>
      <c r="S291" s="923" t="str">
        <f t="shared" si="121"/>
        <v/>
      </c>
      <c r="T291" s="925" t="str">
        <f t="shared" si="122"/>
        <v/>
      </c>
      <c r="U291" s="545"/>
      <c r="V291" s="1103"/>
      <c r="W291" s="1103"/>
      <c r="X291" s="1060"/>
      <c r="Y291" s="1095" t="e">
        <f t="shared" si="123"/>
        <v>#VALUE!</v>
      </c>
      <c r="Z291" s="1094">
        <f>tab!$B$50</f>
        <v>0.6</v>
      </c>
      <c r="AA291" s="1126" t="e">
        <f t="shared" si="124"/>
        <v>#VALUE!</v>
      </c>
      <c r="AB291" s="1126" t="e">
        <f t="shared" si="125"/>
        <v>#VALUE!</v>
      </c>
      <c r="AC291" s="1126" t="e">
        <f t="shared" si="126"/>
        <v>#VALUE!</v>
      </c>
      <c r="AD291" s="1128" t="e">
        <f t="shared" si="127"/>
        <v>#VALUE!</v>
      </c>
      <c r="AE291" s="1128">
        <f t="shared" si="128"/>
        <v>0</v>
      </c>
      <c r="AF291" s="1096">
        <f>IF(H291&gt;8,tab!$B$51,tab!$B$54)</f>
        <v>0.5</v>
      </c>
      <c r="AG291" s="1097">
        <f t="shared" si="129"/>
        <v>0</v>
      </c>
      <c r="AH291" s="1093">
        <f t="shared" si="130"/>
        <v>0</v>
      </c>
      <c r="AI291" s="1120" t="e">
        <f>DATE(YEAR(tab!$G$3),MONTH(G291),DAY(G291))&gt;tab!$G$3</f>
        <v>#VALUE!</v>
      </c>
      <c r="AJ291" s="1120" t="e">
        <f t="shared" si="131"/>
        <v>#VALUE!</v>
      </c>
      <c r="AK291" s="1041">
        <f t="shared" si="132"/>
        <v>30</v>
      </c>
      <c r="AL291" s="1041">
        <f t="shared" si="133"/>
        <v>30</v>
      </c>
      <c r="AM291" s="1047">
        <f t="shared" si="134"/>
        <v>0</v>
      </c>
      <c r="AS291" s="727"/>
    </row>
    <row r="292" spans="3:45" ht="12.75" customHeight="1" x14ac:dyDescent="0.3">
      <c r="C292" s="122"/>
      <c r="D292" s="388" t="str">
        <f>IF(op!D225=0,"",op!D225)</f>
        <v/>
      </c>
      <c r="E292" s="388" t="str">
        <f>IF(op!E225=0,"-",op!E225)</f>
        <v/>
      </c>
      <c r="F292" s="684" t="str">
        <f>IF(op!F225="","",op!F225+1)</f>
        <v/>
      </c>
      <c r="G292" s="710" t="str">
        <f>IF(op!G225="","",op!G225)</f>
        <v/>
      </c>
      <c r="H292" s="684" t="str">
        <f>IF(op!H225=0,"",op!H225)</f>
        <v/>
      </c>
      <c r="I292" s="389" t="str">
        <f>IF(J292="","",(IF(op!I225+1&gt;LOOKUP(H292,schaal2019,regels2019),op!I225,op!I225+1)))</f>
        <v/>
      </c>
      <c r="J292" s="711" t="str">
        <f>IF(op!J225="","",op!J225)</f>
        <v/>
      </c>
      <c r="K292" s="472"/>
      <c r="L292" s="1049">
        <f>IF(op!L225="","",op!L225)</f>
        <v>0</v>
      </c>
      <c r="M292" s="1049">
        <f>IF(op!M225="","",op!M225)</f>
        <v>0</v>
      </c>
      <c r="N292" s="1051" t="str">
        <f t="shared" si="118"/>
        <v/>
      </c>
      <c r="O292" s="1051" t="str">
        <f t="shared" si="119"/>
        <v/>
      </c>
      <c r="P292" s="1125" t="str">
        <f t="shared" si="120"/>
        <v/>
      </c>
      <c r="Q292" s="472"/>
      <c r="R292" s="923" t="str">
        <f t="shared" si="135"/>
        <v/>
      </c>
      <c r="S292" s="923" t="str">
        <f t="shared" si="121"/>
        <v/>
      </c>
      <c r="T292" s="925" t="str">
        <f t="shared" si="122"/>
        <v/>
      </c>
      <c r="U292" s="545"/>
      <c r="V292" s="1103"/>
      <c r="W292" s="1103"/>
      <c r="X292" s="1060"/>
      <c r="Y292" s="1095" t="e">
        <f t="shared" si="123"/>
        <v>#VALUE!</v>
      </c>
      <c r="Z292" s="1094">
        <f>tab!$B$50</f>
        <v>0.6</v>
      </c>
      <c r="AA292" s="1126" t="e">
        <f t="shared" si="124"/>
        <v>#VALUE!</v>
      </c>
      <c r="AB292" s="1126" t="e">
        <f t="shared" si="125"/>
        <v>#VALUE!</v>
      </c>
      <c r="AC292" s="1126" t="e">
        <f t="shared" si="126"/>
        <v>#VALUE!</v>
      </c>
      <c r="AD292" s="1128" t="e">
        <f t="shared" si="127"/>
        <v>#VALUE!</v>
      </c>
      <c r="AE292" s="1128">
        <f t="shared" si="128"/>
        <v>0</v>
      </c>
      <c r="AF292" s="1096">
        <f>IF(H292&gt;8,tab!$B$51,tab!$B$54)</f>
        <v>0.5</v>
      </c>
      <c r="AG292" s="1097">
        <f t="shared" si="129"/>
        <v>0</v>
      </c>
      <c r="AH292" s="1093">
        <f t="shared" si="130"/>
        <v>0</v>
      </c>
      <c r="AI292" s="1120" t="e">
        <f>DATE(YEAR(tab!$G$3),MONTH(G292),DAY(G292))&gt;tab!$G$3</f>
        <v>#VALUE!</v>
      </c>
      <c r="AJ292" s="1120" t="e">
        <f t="shared" si="131"/>
        <v>#VALUE!</v>
      </c>
      <c r="AK292" s="1041">
        <f t="shared" si="132"/>
        <v>30</v>
      </c>
      <c r="AL292" s="1041">
        <f t="shared" si="133"/>
        <v>30</v>
      </c>
      <c r="AM292" s="1047">
        <f t="shared" si="134"/>
        <v>0</v>
      </c>
      <c r="AS292" s="727"/>
    </row>
    <row r="293" spans="3:45" ht="12.75" customHeight="1" x14ac:dyDescent="0.3">
      <c r="C293" s="122"/>
      <c r="D293" s="388" t="str">
        <f>IF(op!D226=0,"",op!D226)</f>
        <v/>
      </c>
      <c r="E293" s="388" t="str">
        <f>IF(op!E226=0,"-",op!E226)</f>
        <v/>
      </c>
      <c r="F293" s="684" t="str">
        <f>IF(op!F226="","",op!F226+1)</f>
        <v/>
      </c>
      <c r="G293" s="710" t="str">
        <f>IF(op!G226="","",op!G226)</f>
        <v/>
      </c>
      <c r="H293" s="684" t="str">
        <f>IF(op!H226=0,"",op!H226)</f>
        <v/>
      </c>
      <c r="I293" s="389" t="str">
        <f>IF(J293="","",(IF(op!I226+1&gt;LOOKUP(H293,schaal2019,regels2019),op!I226,op!I226+1)))</f>
        <v/>
      </c>
      <c r="J293" s="711" t="str">
        <f>IF(op!J226="","",op!J226)</f>
        <v/>
      </c>
      <c r="K293" s="472"/>
      <c r="L293" s="1049">
        <f>IF(op!L226="","",op!L226)</f>
        <v>0</v>
      </c>
      <c r="M293" s="1049">
        <f>IF(op!M226="","",op!M226)</f>
        <v>0</v>
      </c>
      <c r="N293" s="1051" t="str">
        <f t="shared" si="118"/>
        <v/>
      </c>
      <c r="O293" s="1051" t="str">
        <f t="shared" si="119"/>
        <v/>
      </c>
      <c r="P293" s="1125" t="str">
        <f t="shared" si="120"/>
        <v/>
      </c>
      <c r="Q293" s="472"/>
      <c r="R293" s="923" t="str">
        <f t="shared" si="135"/>
        <v/>
      </c>
      <c r="S293" s="923" t="str">
        <f t="shared" si="121"/>
        <v/>
      </c>
      <c r="T293" s="925" t="str">
        <f t="shared" si="122"/>
        <v/>
      </c>
      <c r="U293" s="545"/>
      <c r="V293" s="1103"/>
      <c r="W293" s="1103"/>
      <c r="X293" s="1060"/>
      <c r="Y293" s="1095" t="e">
        <f t="shared" si="123"/>
        <v>#VALUE!</v>
      </c>
      <c r="Z293" s="1094">
        <f>tab!$B$50</f>
        <v>0.6</v>
      </c>
      <c r="AA293" s="1126" t="e">
        <f t="shared" si="124"/>
        <v>#VALUE!</v>
      </c>
      <c r="AB293" s="1126" t="e">
        <f t="shared" si="125"/>
        <v>#VALUE!</v>
      </c>
      <c r="AC293" s="1126" t="e">
        <f t="shared" si="126"/>
        <v>#VALUE!</v>
      </c>
      <c r="AD293" s="1128" t="e">
        <f t="shared" si="127"/>
        <v>#VALUE!</v>
      </c>
      <c r="AE293" s="1128">
        <f t="shared" si="128"/>
        <v>0</v>
      </c>
      <c r="AF293" s="1096">
        <f>IF(H293&gt;8,tab!$B$51,tab!$B$54)</f>
        <v>0.5</v>
      </c>
      <c r="AG293" s="1097">
        <f t="shared" si="129"/>
        <v>0</v>
      </c>
      <c r="AH293" s="1093">
        <f t="shared" si="130"/>
        <v>0</v>
      </c>
      <c r="AI293" s="1120" t="e">
        <f>DATE(YEAR(tab!$G$3),MONTH(G293),DAY(G293))&gt;tab!$G$3</f>
        <v>#VALUE!</v>
      </c>
      <c r="AJ293" s="1120" t="e">
        <f t="shared" si="131"/>
        <v>#VALUE!</v>
      </c>
      <c r="AK293" s="1041">
        <f t="shared" si="132"/>
        <v>30</v>
      </c>
      <c r="AL293" s="1041">
        <f t="shared" si="133"/>
        <v>30</v>
      </c>
      <c r="AM293" s="1047">
        <f t="shared" si="134"/>
        <v>0</v>
      </c>
      <c r="AS293" s="727"/>
    </row>
    <row r="294" spans="3:45" ht="12.75" customHeight="1" x14ac:dyDescent="0.3">
      <c r="C294" s="122"/>
      <c r="D294" s="388" t="str">
        <f>IF(op!D227=0,"",op!D227)</f>
        <v/>
      </c>
      <c r="E294" s="388" t="str">
        <f>IF(op!E227=0,"-",op!E227)</f>
        <v/>
      </c>
      <c r="F294" s="684" t="str">
        <f>IF(op!F227="","",op!F227+1)</f>
        <v/>
      </c>
      <c r="G294" s="710" t="str">
        <f>IF(op!G227="","",op!G227)</f>
        <v/>
      </c>
      <c r="H294" s="684" t="str">
        <f>IF(op!H227=0,"",op!H227)</f>
        <v/>
      </c>
      <c r="I294" s="389" t="str">
        <f>IF(J294="","",(IF(op!I227+1&gt;LOOKUP(H294,schaal2019,regels2019),op!I227,op!I227+1)))</f>
        <v/>
      </c>
      <c r="J294" s="711" t="str">
        <f>IF(op!J227="","",op!J227)</f>
        <v/>
      </c>
      <c r="K294" s="472"/>
      <c r="L294" s="1049">
        <f>IF(op!L227="","",op!L227)</f>
        <v>0</v>
      </c>
      <c r="M294" s="1049">
        <f>IF(op!M227="","",op!M227)</f>
        <v>0</v>
      </c>
      <c r="N294" s="1051" t="str">
        <f t="shared" si="118"/>
        <v/>
      </c>
      <c r="O294" s="1051" t="str">
        <f t="shared" si="119"/>
        <v/>
      </c>
      <c r="P294" s="1125" t="str">
        <f t="shared" si="120"/>
        <v/>
      </c>
      <c r="Q294" s="472"/>
      <c r="R294" s="923" t="str">
        <f t="shared" si="135"/>
        <v/>
      </c>
      <c r="S294" s="923" t="str">
        <f t="shared" si="121"/>
        <v/>
      </c>
      <c r="T294" s="925" t="str">
        <f t="shared" si="122"/>
        <v/>
      </c>
      <c r="U294" s="545"/>
      <c r="V294" s="1103"/>
      <c r="W294" s="1103"/>
      <c r="X294" s="1060"/>
      <c r="Y294" s="1095" t="e">
        <f t="shared" si="123"/>
        <v>#VALUE!</v>
      </c>
      <c r="Z294" s="1094">
        <f>tab!$B$50</f>
        <v>0.6</v>
      </c>
      <c r="AA294" s="1126" t="e">
        <f t="shared" si="124"/>
        <v>#VALUE!</v>
      </c>
      <c r="AB294" s="1126" t="e">
        <f t="shared" si="125"/>
        <v>#VALUE!</v>
      </c>
      <c r="AC294" s="1126" t="e">
        <f t="shared" si="126"/>
        <v>#VALUE!</v>
      </c>
      <c r="AD294" s="1128" t="e">
        <f t="shared" si="127"/>
        <v>#VALUE!</v>
      </c>
      <c r="AE294" s="1128">
        <f t="shared" si="128"/>
        <v>0</v>
      </c>
      <c r="AF294" s="1096">
        <f>IF(H294&gt;8,tab!$B$51,tab!$B$54)</f>
        <v>0.5</v>
      </c>
      <c r="AG294" s="1097">
        <f t="shared" si="129"/>
        <v>0</v>
      </c>
      <c r="AH294" s="1093">
        <f t="shared" si="130"/>
        <v>0</v>
      </c>
      <c r="AI294" s="1120" t="e">
        <f>DATE(YEAR(tab!$G$3),MONTH(G294),DAY(G294))&gt;tab!$G$3</f>
        <v>#VALUE!</v>
      </c>
      <c r="AJ294" s="1120" t="e">
        <f t="shared" si="131"/>
        <v>#VALUE!</v>
      </c>
      <c r="AK294" s="1041">
        <f t="shared" si="132"/>
        <v>30</v>
      </c>
      <c r="AL294" s="1041">
        <f t="shared" si="133"/>
        <v>30</v>
      </c>
      <c r="AM294" s="1047">
        <f t="shared" si="134"/>
        <v>0</v>
      </c>
      <c r="AS294" s="727"/>
    </row>
    <row r="295" spans="3:45" ht="12.75" customHeight="1" x14ac:dyDescent="0.3">
      <c r="C295" s="122"/>
      <c r="D295" s="388" t="str">
        <f>IF(op!D228=0,"",op!D228)</f>
        <v/>
      </c>
      <c r="E295" s="388" t="str">
        <f>IF(op!E228=0,"-",op!E228)</f>
        <v/>
      </c>
      <c r="F295" s="684" t="str">
        <f>IF(op!F228="","",op!F228+1)</f>
        <v/>
      </c>
      <c r="G295" s="710" t="str">
        <f>IF(op!G228="","",op!G228)</f>
        <v/>
      </c>
      <c r="H295" s="684" t="str">
        <f>IF(op!H228=0,"",op!H228)</f>
        <v/>
      </c>
      <c r="I295" s="389" t="str">
        <f>IF(J295="","",(IF(op!I228+1&gt;LOOKUP(H295,schaal2019,regels2019),op!I228,op!I228+1)))</f>
        <v/>
      </c>
      <c r="J295" s="711" t="str">
        <f>IF(op!J228="","",op!J228)</f>
        <v/>
      </c>
      <c r="K295" s="472"/>
      <c r="L295" s="1049">
        <f>IF(op!L228="","",op!L228)</f>
        <v>0</v>
      </c>
      <c r="M295" s="1049">
        <f>IF(op!M228="","",op!M228)</f>
        <v>0</v>
      </c>
      <c r="N295" s="1051" t="str">
        <f t="shared" si="118"/>
        <v/>
      </c>
      <c r="O295" s="1051" t="str">
        <f t="shared" si="119"/>
        <v/>
      </c>
      <c r="P295" s="1125" t="str">
        <f t="shared" si="120"/>
        <v/>
      </c>
      <c r="Q295" s="472"/>
      <c r="R295" s="923" t="str">
        <f t="shared" si="135"/>
        <v/>
      </c>
      <c r="S295" s="923" t="str">
        <f t="shared" si="121"/>
        <v/>
      </c>
      <c r="T295" s="925" t="str">
        <f t="shared" si="122"/>
        <v/>
      </c>
      <c r="U295" s="545"/>
      <c r="V295" s="1103"/>
      <c r="W295" s="1103"/>
      <c r="X295" s="1060"/>
      <c r="Y295" s="1095" t="e">
        <f t="shared" si="123"/>
        <v>#VALUE!</v>
      </c>
      <c r="Z295" s="1094">
        <f>tab!$B$50</f>
        <v>0.6</v>
      </c>
      <c r="AA295" s="1126" t="e">
        <f t="shared" si="124"/>
        <v>#VALUE!</v>
      </c>
      <c r="AB295" s="1126" t="e">
        <f t="shared" si="125"/>
        <v>#VALUE!</v>
      </c>
      <c r="AC295" s="1126" t="e">
        <f t="shared" si="126"/>
        <v>#VALUE!</v>
      </c>
      <c r="AD295" s="1128" t="e">
        <f t="shared" si="127"/>
        <v>#VALUE!</v>
      </c>
      <c r="AE295" s="1128">
        <f t="shared" si="128"/>
        <v>0</v>
      </c>
      <c r="AF295" s="1096">
        <f>IF(H295&gt;8,tab!$B$51,tab!$B$54)</f>
        <v>0.5</v>
      </c>
      <c r="AG295" s="1097">
        <f t="shared" si="129"/>
        <v>0</v>
      </c>
      <c r="AH295" s="1093">
        <f t="shared" si="130"/>
        <v>0</v>
      </c>
      <c r="AI295" s="1120" t="e">
        <f>DATE(YEAR(tab!$G$3),MONTH(G295),DAY(G295))&gt;tab!$G$3</f>
        <v>#VALUE!</v>
      </c>
      <c r="AJ295" s="1120" t="e">
        <f t="shared" si="131"/>
        <v>#VALUE!</v>
      </c>
      <c r="AK295" s="1041">
        <f t="shared" si="132"/>
        <v>30</v>
      </c>
      <c r="AL295" s="1041">
        <f t="shared" si="133"/>
        <v>30</v>
      </c>
      <c r="AM295" s="1047">
        <f t="shared" si="134"/>
        <v>0</v>
      </c>
      <c r="AS295" s="727"/>
    </row>
    <row r="296" spans="3:45" ht="12.75" customHeight="1" x14ac:dyDescent="0.3">
      <c r="C296" s="122"/>
      <c r="D296" s="388" t="str">
        <f>IF(op!D229=0,"",op!D229)</f>
        <v/>
      </c>
      <c r="E296" s="388" t="str">
        <f>IF(op!E229=0,"-",op!E229)</f>
        <v/>
      </c>
      <c r="F296" s="684" t="str">
        <f>IF(op!F229="","",op!F229+1)</f>
        <v/>
      </c>
      <c r="G296" s="710" t="str">
        <f>IF(op!G229="","",op!G229)</f>
        <v/>
      </c>
      <c r="H296" s="684" t="str">
        <f>IF(op!H229=0,"",op!H229)</f>
        <v/>
      </c>
      <c r="I296" s="389" t="str">
        <f>IF(J296="","",(IF(op!I229+1&gt;LOOKUP(H296,schaal2019,regels2019),op!I229,op!I229+1)))</f>
        <v/>
      </c>
      <c r="J296" s="711" t="str">
        <f>IF(op!J229="","",op!J229)</f>
        <v/>
      </c>
      <c r="K296" s="472"/>
      <c r="L296" s="1049">
        <f>IF(op!L229="","",op!L229)</f>
        <v>0</v>
      </c>
      <c r="M296" s="1049">
        <f>IF(op!M229="","",op!M229)</f>
        <v>0</v>
      </c>
      <c r="N296" s="1051" t="str">
        <f t="shared" si="118"/>
        <v/>
      </c>
      <c r="O296" s="1051" t="str">
        <f t="shared" si="119"/>
        <v/>
      </c>
      <c r="P296" s="1125" t="str">
        <f t="shared" si="120"/>
        <v/>
      </c>
      <c r="Q296" s="472"/>
      <c r="R296" s="923" t="str">
        <f t="shared" si="135"/>
        <v/>
      </c>
      <c r="S296" s="923" t="str">
        <f t="shared" si="121"/>
        <v/>
      </c>
      <c r="T296" s="925" t="str">
        <f t="shared" si="122"/>
        <v/>
      </c>
      <c r="U296" s="545"/>
      <c r="V296" s="1103"/>
      <c r="W296" s="1103"/>
      <c r="X296" s="1060"/>
      <c r="Y296" s="1095" t="e">
        <f t="shared" si="123"/>
        <v>#VALUE!</v>
      </c>
      <c r="Z296" s="1094">
        <f>tab!$B$50</f>
        <v>0.6</v>
      </c>
      <c r="AA296" s="1126" t="e">
        <f t="shared" si="124"/>
        <v>#VALUE!</v>
      </c>
      <c r="AB296" s="1126" t="e">
        <f t="shared" si="125"/>
        <v>#VALUE!</v>
      </c>
      <c r="AC296" s="1126" t="e">
        <f t="shared" si="126"/>
        <v>#VALUE!</v>
      </c>
      <c r="AD296" s="1128" t="e">
        <f t="shared" si="127"/>
        <v>#VALUE!</v>
      </c>
      <c r="AE296" s="1128">
        <f t="shared" si="128"/>
        <v>0</v>
      </c>
      <c r="AF296" s="1096">
        <f>IF(H296&gt;8,tab!$B$51,tab!$B$54)</f>
        <v>0.5</v>
      </c>
      <c r="AG296" s="1097">
        <f t="shared" si="129"/>
        <v>0</v>
      </c>
      <c r="AH296" s="1093">
        <f t="shared" si="130"/>
        <v>0</v>
      </c>
      <c r="AI296" s="1120" t="e">
        <f>DATE(YEAR(tab!$G$3),MONTH(G296),DAY(G296))&gt;tab!$G$3</f>
        <v>#VALUE!</v>
      </c>
      <c r="AJ296" s="1120" t="e">
        <f t="shared" si="131"/>
        <v>#VALUE!</v>
      </c>
      <c r="AK296" s="1041">
        <f t="shared" si="132"/>
        <v>30</v>
      </c>
      <c r="AL296" s="1041">
        <f t="shared" si="133"/>
        <v>30</v>
      </c>
      <c r="AM296" s="1047">
        <f t="shared" si="134"/>
        <v>0</v>
      </c>
      <c r="AS296" s="727"/>
    </row>
    <row r="297" spans="3:45" ht="12.75" customHeight="1" x14ac:dyDescent="0.3">
      <c r="C297" s="122"/>
      <c r="D297" s="388" t="str">
        <f>IF(op!D230=0,"",op!D230)</f>
        <v/>
      </c>
      <c r="E297" s="388" t="str">
        <f>IF(op!E230=0,"-",op!E230)</f>
        <v/>
      </c>
      <c r="F297" s="684" t="str">
        <f>IF(op!F230="","",op!F230+1)</f>
        <v/>
      </c>
      <c r="G297" s="710" t="str">
        <f>IF(op!G230="","",op!G230)</f>
        <v/>
      </c>
      <c r="H297" s="684" t="str">
        <f>IF(op!H230=0,"",op!H230)</f>
        <v/>
      </c>
      <c r="I297" s="389" t="str">
        <f>IF(J297="","",(IF(op!I230+1&gt;LOOKUP(H297,schaal2019,regels2019),op!I230,op!I230+1)))</f>
        <v/>
      </c>
      <c r="J297" s="711" t="str">
        <f>IF(op!J230="","",op!J230)</f>
        <v/>
      </c>
      <c r="K297" s="472"/>
      <c r="L297" s="1049">
        <f>IF(op!L230="","",op!L230)</f>
        <v>0</v>
      </c>
      <c r="M297" s="1049">
        <f>IF(op!M230="","",op!M230)</f>
        <v>0</v>
      </c>
      <c r="N297" s="1051" t="str">
        <f t="shared" si="118"/>
        <v/>
      </c>
      <c r="O297" s="1051" t="str">
        <f t="shared" si="119"/>
        <v/>
      </c>
      <c r="P297" s="1125" t="str">
        <f t="shared" si="120"/>
        <v/>
      </c>
      <c r="Q297" s="472"/>
      <c r="R297" s="923" t="str">
        <f t="shared" si="135"/>
        <v/>
      </c>
      <c r="S297" s="923" t="str">
        <f t="shared" si="121"/>
        <v/>
      </c>
      <c r="T297" s="925" t="str">
        <f t="shared" si="122"/>
        <v/>
      </c>
      <c r="U297" s="545"/>
      <c r="V297" s="1103"/>
      <c r="W297" s="1103"/>
      <c r="X297" s="1060"/>
      <c r="Y297" s="1095" t="e">
        <f t="shared" si="123"/>
        <v>#VALUE!</v>
      </c>
      <c r="Z297" s="1094">
        <f>tab!$B$50</f>
        <v>0.6</v>
      </c>
      <c r="AA297" s="1126" t="e">
        <f t="shared" si="124"/>
        <v>#VALUE!</v>
      </c>
      <c r="AB297" s="1126" t="e">
        <f t="shared" si="125"/>
        <v>#VALUE!</v>
      </c>
      <c r="AC297" s="1126" t="e">
        <f t="shared" si="126"/>
        <v>#VALUE!</v>
      </c>
      <c r="AD297" s="1128" t="e">
        <f t="shared" si="127"/>
        <v>#VALUE!</v>
      </c>
      <c r="AE297" s="1128">
        <f t="shared" si="128"/>
        <v>0</v>
      </c>
      <c r="AF297" s="1096">
        <f>IF(H297&gt;8,tab!$B$51,tab!$B$54)</f>
        <v>0.5</v>
      </c>
      <c r="AG297" s="1097">
        <f t="shared" si="129"/>
        <v>0</v>
      </c>
      <c r="AH297" s="1093">
        <f t="shared" si="130"/>
        <v>0</v>
      </c>
      <c r="AI297" s="1120" t="e">
        <f>DATE(YEAR(tab!$G$3),MONTH(G297),DAY(G297))&gt;tab!$G$3</f>
        <v>#VALUE!</v>
      </c>
      <c r="AJ297" s="1120" t="e">
        <f t="shared" si="131"/>
        <v>#VALUE!</v>
      </c>
      <c r="AK297" s="1041">
        <f t="shared" si="132"/>
        <v>30</v>
      </c>
      <c r="AL297" s="1041">
        <f t="shared" si="133"/>
        <v>30</v>
      </c>
      <c r="AM297" s="1047">
        <f t="shared" si="134"/>
        <v>0</v>
      </c>
      <c r="AS297" s="727"/>
    </row>
    <row r="298" spans="3:45" ht="12.75" customHeight="1" x14ac:dyDescent="0.3">
      <c r="C298" s="122"/>
      <c r="D298" s="388" t="str">
        <f>IF(op!D231=0,"",op!D231)</f>
        <v/>
      </c>
      <c r="E298" s="388" t="str">
        <f>IF(op!E231=0,"-",op!E231)</f>
        <v/>
      </c>
      <c r="F298" s="684" t="str">
        <f>IF(op!F231="","",op!F231+1)</f>
        <v/>
      </c>
      <c r="G298" s="710" t="str">
        <f>IF(op!G231="","",op!G231)</f>
        <v/>
      </c>
      <c r="H298" s="684" t="str">
        <f>IF(op!H231=0,"",op!H231)</f>
        <v/>
      </c>
      <c r="I298" s="389" t="str">
        <f>IF(J298="","",(IF(op!I231+1&gt;LOOKUP(H298,schaal2019,regels2019),op!I231,op!I231+1)))</f>
        <v/>
      </c>
      <c r="J298" s="711" t="str">
        <f>IF(op!J231="","",op!J231)</f>
        <v/>
      </c>
      <c r="K298" s="472"/>
      <c r="L298" s="1049">
        <f>IF(op!L231="","",op!L231)</f>
        <v>0</v>
      </c>
      <c r="M298" s="1049">
        <f>IF(op!M231="","",op!M231)</f>
        <v>0</v>
      </c>
      <c r="N298" s="1051" t="str">
        <f t="shared" si="118"/>
        <v/>
      </c>
      <c r="O298" s="1051" t="str">
        <f t="shared" si="119"/>
        <v/>
      </c>
      <c r="P298" s="1125" t="str">
        <f t="shared" si="120"/>
        <v/>
      </c>
      <c r="Q298" s="472"/>
      <c r="R298" s="923" t="str">
        <f t="shared" si="135"/>
        <v/>
      </c>
      <c r="S298" s="923" t="str">
        <f t="shared" si="121"/>
        <v/>
      </c>
      <c r="T298" s="925" t="str">
        <f t="shared" si="122"/>
        <v/>
      </c>
      <c r="U298" s="545"/>
      <c r="V298" s="1103"/>
      <c r="W298" s="1103"/>
      <c r="X298" s="1060"/>
      <c r="Y298" s="1095" t="e">
        <f t="shared" si="123"/>
        <v>#VALUE!</v>
      </c>
      <c r="Z298" s="1094">
        <f>tab!$B$50</f>
        <v>0.6</v>
      </c>
      <c r="AA298" s="1126" t="e">
        <f t="shared" si="124"/>
        <v>#VALUE!</v>
      </c>
      <c r="AB298" s="1126" t="e">
        <f t="shared" si="125"/>
        <v>#VALUE!</v>
      </c>
      <c r="AC298" s="1126" t="e">
        <f t="shared" si="126"/>
        <v>#VALUE!</v>
      </c>
      <c r="AD298" s="1128" t="e">
        <f t="shared" si="127"/>
        <v>#VALUE!</v>
      </c>
      <c r="AE298" s="1128">
        <f t="shared" si="128"/>
        <v>0</v>
      </c>
      <c r="AF298" s="1096">
        <f>IF(H298&gt;8,tab!$B$51,tab!$B$54)</f>
        <v>0.5</v>
      </c>
      <c r="AG298" s="1097">
        <f t="shared" si="129"/>
        <v>0</v>
      </c>
      <c r="AH298" s="1093">
        <f t="shared" si="130"/>
        <v>0</v>
      </c>
      <c r="AI298" s="1120" t="e">
        <f>DATE(YEAR(tab!$G$3),MONTH(G298),DAY(G298))&gt;tab!$G$3</f>
        <v>#VALUE!</v>
      </c>
      <c r="AJ298" s="1120" t="e">
        <f t="shared" si="131"/>
        <v>#VALUE!</v>
      </c>
      <c r="AK298" s="1041">
        <f t="shared" si="132"/>
        <v>30</v>
      </c>
      <c r="AL298" s="1041">
        <f t="shared" si="133"/>
        <v>30</v>
      </c>
      <c r="AM298" s="1047">
        <f t="shared" si="134"/>
        <v>0</v>
      </c>
      <c r="AS298" s="727"/>
    </row>
    <row r="299" spans="3:45" ht="12.75" customHeight="1" x14ac:dyDescent="0.3">
      <c r="C299" s="122"/>
      <c r="D299" s="388" t="str">
        <f>IF(op!D232=0,"",op!D232)</f>
        <v/>
      </c>
      <c r="E299" s="388" t="str">
        <f>IF(op!E232=0,"-",op!E232)</f>
        <v/>
      </c>
      <c r="F299" s="684" t="str">
        <f>IF(op!F232="","",op!F232+1)</f>
        <v/>
      </c>
      <c r="G299" s="710" t="str">
        <f>IF(op!G232="","",op!G232)</f>
        <v/>
      </c>
      <c r="H299" s="684" t="str">
        <f>IF(op!H232=0,"",op!H232)</f>
        <v/>
      </c>
      <c r="I299" s="389" t="str">
        <f>IF(J299="","",(IF(op!I232+1&gt;LOOKUP(H299,schaal2019,regels2019),op!I232,op!I232+1)))</f>
        <v/>
      </c>
      <c r="J299" s="711" t="str">
        <f>IF(op!J232="","",op!J232)</f>
        <v/>
      </c>
      <c r="K299" s="472"/>
      <c r="L299" s="1049">
        <f>IF(op!L232="","",op!L232)</f>
        <v>0</v>
      </c>
      <c r="M299" s="1049">
        <f>IF(op!M232="","",op!M232)</f>
        <v>0</v>
      </c>
      <c r="N299" s="1051" t="str">
        <f t="shared" si="118"/>
        <v/>
      </c>
      <c r="O299" s="1051" t="str">
        <f t="shared" si="119"/>
        <v/>
      </c>
      <c r="P299" s="1125" t="str">
        <f t="shared" si="120"/>
        <v/>
      </c>
      <c r="Q299" s="472"/>
      <c r="R299" s="923" t="str">
        <f t="shared" si="135"/>
        <v/>
      </c>
      <c r="S299" s="923" t="str">
        <f t="shared" si="121"/>
        <v/>
      </c>
      <c r="T299" s="925" t="str">
        <f t="shared" si="122"/>
        <v/>
      </c>
      <c r="U299" s="545"/>
      <c r="V299" s="1103"/>
      <c r="W299" s="1103"/>
      <c r="X299" s="1060"/>
      <c r="Y299" s="1095" t="e">
        <f t="shared" si="123"/>
        <v>#VALUE!</v>
      </c>
      <c r="Z299" s="1094">
        <f>tab!$B$50</f>
        <v>0.6</v>
      </c>
      <c r="AA299" s="1126" t="e">
        <f t="shared" si="124"/>
        <v>#VALUE!</v>
      </c>
      <c r="AB299" s="1126" t="e">
        <f t="shared" si="125"/>
        <v>#VALUE!</v>
      </c>
      <c r="AC299" s="1126" t="e">
        <f t="shared" si="126"/>
        <v>#VALUE!</v>
      </c>
      <c r="AD299" s="1128" t="e">
        <f t="shared" si="127"/>
        <v>#VALUE!</v>
      </c>
      <c r="AE299" s="1128">
        <f t="shared" si="128"/>
        <v>0</v>
      </c>
      <c r="AF299" s="1096">
        <f>IF(H299&gt;8,tab!$B$51,tab!$B$54)</f>
        <v>0.5</v>
      </c>
      <c r="AG299" s="1097">
        <f t="shared" si="129"/>
        <v>0</v>
      </c>
      <c r="AH299" s="1093">
        <f t="shared" si="130"/>
        <v>0</v>
      </c>
      <c r="AI299" s="1120" t="e">
        <f>DATE(YEAR(tab!$G$3),MONTH(G299),DAY(G299))&gt;tab!$G$3</f>
        <v>#VALUE!</v>
      </c>
      <c r="AJ299" s="1120" t="e">
        <f t="shared" si="131"/>
        <v>#VALUE!</v>
      </c>
      <c r="AK299" s="1041">
        <f t="shared" si="132"/>
        <v>30</v>
      </c>
      <c r="AL299" s="1041">
        <f t="shared" si="133"/>
        <v>30</v>
      </c>
      <c r="AM299" s="1047">
        <f t="shared" si="134"/>
        <v>0</v>
      </c>
      <c r="AS299" s="727"/>
    </row>
    <row r="300" spans="3:45" ht="12.75" customHeight="1" x14ac:dyDescent="0.3">
      <c r="C300" s="122"/>
      <c r="D300" s="388" t="str">
        <f>IF(op!D233=0,"",op!D233)</f>
        <v/>
      </c>
      <c r="E300" s="388" t="str">
        <f>IF(op!E233=0,"-",op!E233)</f>
        <v/>
      </c>
      <c r="F300" s="684" t="str">
        <f>IF(op!F233="","",op!F233+1)</f>
        <v/>
      </c>
      <c r="G300" s="710" t="str">
        <f>IF(op!G233="","",op!G233)</f>
        <v/>
      </c>
      <c r="H300" s="684" t="str">
        <f>IF(op!H233=0,"",op!H233)</f>
        <v/>
      </c>
      <c r="I300" s="389" t="str">
        <f>IF(J300="","",(IF(op!I233+1&gt;LOOKUP(H300,schaal2019,regels2019),op!I233,op!I233+1)))</f>
        <v/>
      </c>
      <c r="J300" s="711" t="str">
        <f>IF(op!J233="","",op!J233)</f>
        <v/>
      </c>
      <c r="K300" s="472"/>
      <c r="L300" s="1049">
        <f>IF(op!L233="","",op!L233)</f>
        <v>0</v>
      </c>
      <c r="M300" s="1049">
        <f>IF(op!M233="","",op!M233)</f>
        <v>0</v>
      </c>
      <c r="N300" s="1051" t="str">
        <f t="shared" si="118"/>
        <v/>
      </c>
      <c r="O300" s="1051" t="str">
        <f t="shared" si="119"/>
        <v/>
      </c>
      <c r="P300" s="1125" t="str">
        <f t="shared" si="120"/>
        <v/>
      </c>
      <c r="Q300" s="472"/>
      <c r="R300" s="923" t="str">
        <f t="shared" si="135"/>
        <v/>
      </c>
      <c r="S300" s="923" t="str">
        <f t="shared" si="121"/>
        <v/>
      </c>
      <c r="T300" s="925" t="str">
        <f t="shared" si="122"/>
        <v/>
      </c>
      <c r="U300" s="545"/>
      <c r="V300" s="1103"/>
      <c r="W300" s="1103"/>
      <c r="X300" s="1060"/>
      <c r="Y300" s="1095" t="e">
        <f t="shared" si="123"/>
        <v>#VALUE!</v>
      </c>
      <c r="Z300" s="1094">
        <f>tab!$B$50</f>
        <v>0.6</v>
      </c>
      <c r="AA300" s="1126" t="e">
        <f t="shared" si="124"/>
        <v>#VALUE!</v>
      </c>
      <c r="AB300" s="1126" t="e">
        <f t="shared" si="125"/>
        <v>#VALUE!</v>
      </c>
      <c r="AC300" s="1126" t="e">
        <f t="shared" si="126"/>
        <v>#VALUE!</v>
      </c>
      <c r="AD300" s="1128" t="e">
        <f t="shared" si="127"/>
        <v>#VALUE!</v>
      </c>
      <c r="AE300" s="1128">
        <f t="shared" si="128"/>
        <v>0</v>
      </c>
      <c r="AF300" s="1096">
        <f>IF(H300&gt;8,tab!$B$51,tab!$B$54)</f>
        <v>0.5</v>
      </c>
      <c r="AG300" s="1097">
        <f t="shared" si="129"/>
        <v>0</v>
      </c>
      <c r="AH300" s="1093">
        <f t="shared" si="130"/>
        <v>0</v>
      </c>
      <c r="AI300" s="1120" t="e">
        <f>DATE(YEAR(tab!$G$3),MONTH(G300),DAY(G300))&gt;tab!$G$3</f>
        <v>#VALUE!</v>
      </c>
      <c r="AJ300" s="1120" t="e">
        <f t="shared" si="131"/>
        <v>#VALUE!</v>
      </c>
      <c r="AK300" s="1041">
        <f t="shared" si="132"/>
        <v>30</v>
      </c>
      <c r="AL300" s="1041">
        <f t="shared" si="133"/>
        <v>30</v>
      </c>
      <c r="AM300" s="1047">
        <f t="shared" si="134"/>
        <v>0</v>
      </c>
      <c r="AS300" s="727"/>
    </row>
    <row r="301" spans="3:45" ht="12.75" customHeight="1" x14ac:dyDescent="0.3">
      <c r="C301" s="122"/>
      <c r="D301" s="388" t="str">
        <f>IF(op!D234=0,"",op!D234)</f>
        <v/>
      </c>
      <c r="E301" s="388" t="str">
        <f>IF(op!E234=0,"-",op!E234)</f>
        <v/>
      </c>
      <c r="F301" s="684" t="str">
        <f>IF(op!F234="","",op!F234+1)</f>
        <v/>
      </c>
      <c r="G301" s="710" t="str">
        <f>IF(op!G234="","",op!G234)</f>
        <v/>
      </c>
      <c r="H301" s="684" t="str">
        <f>IF(op!H234=0,"",op!H234)</f>
        <v/>
      </c>
      <c r="I301" s="389" t="str">
        <f>IF(J301="","",(IF(op!I234+1&gt;LOOKUP(H301,schaal2019,regels2019),op!I234,op!I234+1)))</f>
        <v/>
      </c>
      <c r="J301" s="711" t="str">
        <f>IF(op!J234="","",op!J234)</f>
        <v/>
      </c>
      <c r="K301" s="472"/>
      <c r="L301" s="1049">
        <f>IF(op!L234="","",op!L234)</f>
        <v>0</v>
      </c>
      <c r="M301" s="1049">
        <f>IF(op!M234="","",op!M234)</f>
        <v>0</v>
      </c>
      <c r="N301" s="1051" t="str">
        <f t="shared" si="118"/>
        <v/>
      </c>
      <c r="O301" s="1051" t="str">
        <f t="shared" si="119"/>
        <v/>
      </c>
      <c r="P301" s="1125" t="str">
        <f t="shared" si="120"/>
        <v/>
      </c>
      <c r="Q301" s="472"/>
      <c r="R301" s="923" t="str">
        <f t="shared" si="135"/>
        <v/>
      </c>
      <c r="S301" s="923" t="str">
        <f t="shared" si="121"/>
        <v/>
      </c>
      <c r="T301" s="925" t="str">
        <f t="shared" si="122"/>
        <v/>
      </c>
      <c r="U301" s="545"/>
      <c r="V301" s="1103"/>
      <c r="W301" s="1103"/>
      <c r="X301" s="1060"/>
      <c r="Y301" s="1095" t="e">
        <f t="shared" si="123"/>
        <v>#VALUE!</v>
      </c>
      <c r="Z301" s="1094">
        <f>tab!$B$50</f>
        <v>0.6</v>
      </c>
      <c r="AA301" s="1126" t="e">
        <f t="shared" si="124"/>
        <v>#VALUE!</v>
      </c>
      <c r="AB301" s="1126" t="e">
        <f t="shared" si="125"/>
        <v>#VALUE!</v>
      </c>
      <c r="AC301" s="1126" t="e">
        <f t="shared" si="126"/>
        <v>#VALUE!</v>
      </c>
      <c r="AD301" s="1128" t="e">
        <f t="shared" si="127"/>
        <v>#VALUE!</v>
      </c>
      <c r="AE301" s="1128">
        <f t="shared" si="128"/>
        <v>0</v>
      </c>
      <c r="AF301" s="1096">
        <f>IF(H301&gt;8,tab!$B$51,tab!$B$54)</f>
        <v>0.5</v>
      </c>
      <c r="AG301" s="1097">
        <f t="shared" si="129"/>
        <v>0</v>
      </c>
      <c r="AH301" s="1093">
        <f t="shared" si="130"/>
        <v>0</v>
      </c>
      <c r="AI301" s="1120" t="e">
        <f>DATE(YEAR(tab!$G$3),MONTH(G301),DAY(G301))&gt;tab!$G$3</f>
        <v>#VALUE!</v>
      </c>
      <c r="AJ301" s="1120" t="e">
        <f t="shared" si="131"/>
        <v>#VALUE!</v>
      </c>
      <c r="AK301" s="1041">
        <f t="shared" si="132"/>
        <v>30</v>
      </c>
      <c r="AL301" s="1041">
        <f t="shared" si="133"/>
        <v>30</v>
      </c>
      <c r="AM301" s="1047">
        <f t="shared" si="134"/>
        <v>0</v>
      </c>
      <c r="AS301" s="727"/>
    </row>
    <row r="302" spans="3:45" ht="12.75" customHeight="1" x14ac:dyDescent="0.3">
      <c r="C302" s="122"/>
      <c r="D302" s="388" t="str">
        <f>IF(op!D235=0,"",op!D235)</f>
        <v/>
      </c>
      <c r="E302" s="388" t="str">
        <f>IF(op!E235=0,"-",op!E235)</f>
        <v/>
      </c>
      <c r="F302" s="684" t="str">
        <f>IF(op!F235="","",op!F235+1)</f>
        <v/>
      </c>
      <c r="G302" s="710" t="str">
        <f>IF(op!G235="","",op!G235)</f>
        <v/>
      </c>
      <c r="H302" s="684" t="str">
        <f>IF(op!H235=0,"",op!H235)</f>
        <v/>
      </c>
      <c r="I302" s="389" t="str">
        <f>IF(J302="","",(IF(op!I235+1&gt;LOOKUP(H302,schaal2019,regels2019),op!I235,op!I235+1)))</f>
        <v/>
      </c>
      <c r="J302" s="711" t="str">
        <f>IF(op!J235="","",op!J235)</f>
        <v/>
      </c>
      <c r="K302" s="472"/>
      <c r="L302" s="1049">
        <f>IF(op!L235="","",op!L235)</f>
        <v>0</v>
      </c>
      <c r="M302" s="1049">
        <f>IF(op!M235="","",op!M235)</f>
        <v>0</v>
      </c>
      <c r="N302" s="1051" t="str">
        <f t="shared" si="118"/>
        <v/>
      </c>
      <c r="O302" s="1051" t="str">
        <f t="shared" si="119"/>
        <v/>
      </c>
      <c r="P302" s="1125" t="str">
        <f t="shared" si="120"/>
        <v/>
      </c>
      <c r="Q302" s="472"/>
      <c r="R302" s="923" t="str">
        <f t="shared" si="135"/>
        <v/>
      </c>
      <c r="S302" s="923" t="str">
        <f t="shared" si="121"/>
        <v/>
      </c>
      <c r="T302" s="925" t="str">
        <f t="shared" si="122"/>
        <v/>
      </c>
      <c r="U302" s="545"/>
      <c r="V302" s="1103"/>
      <c r="W302" s="1103"/>
      <c r="X302" s="1060"/>
      <c r="Y302" s="1095" t="e">
        <f t="shared" si="123"/>
        <v>#VALUE!</v>
      </c>
      <c r="Z302" s="1094">
        <f>tab!$B$50</f>
        <v>0.6</v>
      </c>
      <c r="AA302" s="1126" t="e">
        <f t="shared" si="124"/>
        <v>#VALUE!</v>
      </c>
      <c r="AB302" s="1126" t="e">
        <f t="shared" si="125"/>
        <v>#VALUE!</v>
      </c>
      <c r="AC302" s="1126" t="e">
        <f t="shared" si="126"/>
        <v>#VALUE!</v>
      </c>
      <c r="AD302" s="1128" t="e">
        <f t="shared" si="127"/>
        <v>#VALUE!</v>
      </c>
      <c r="AE302" s="1128">
        <f t="shared" si="128"/>
        <v>0</v>
      </c>
      <c r="AF302" s="1096">
        <f>IF(H302&gt;8,tab!$B$51,tab!$B$54)</f>
        <v>0.5</v>
      </c>
      <c r="AG302" s="1097">
        <f t="shared" si="129"/>
        <v>0</v>
      </c>
      <c r="AH302" s="1093">
        <f t="shared" si="130"/>
        <v>0</v>
      </c>
      <c r="AI302" s="1120" t="e">
        <f>DATE(YEAR(tab!$G$3),MONTH(G302),DAY(G302))&gt;tab!$G$3</f>
        <v>#VALUE!</v>
      </c>
      <c r="AJ302" s="1120" t="e">
        <f t="shared" si="131"/>
        <v>#VALUE!</v>
      </c>
      <c r="AK302" s="1041">
        <f t="shared" si="132"/>
        <v>30</v>
      </c>
      <c r="AL302" s="1041">
        <f t="shared" si="133"/>
        <v>30</v>
      </c>
      <c r="AM302" s="1047">
        <f t="shared" si="134"/>
        <v>0</v>
      </c>
      <c r="AS302" s="727"/>
    </row>
    <row r="303" spans="3:45" ht="12.75" customHeight="1" x14ac:dyDescent="0.3">
      <c r="C303" s="122"/>
      <c r="D303" s="388" t="str">
        <f>IF(op!D236=0,"",op!D236)</f>
        <v/>
      </c>
      <c r="E303" s="388" t="str">
        <f>IF(op!E236=0,"-",op!E236)</f>
        <v/>
      </c>
      <c r="F303" s="684" t="str">
        <f>IF(op!F236="","",op!F236+1)</f>
        <v/>
      </c>
      <c r="G303" s="710" t="str">
        <f>IF(op!G236="","",op!G236)</f>
        <v/>
      </c>
      <c r="H303" s="684" t="str">
        <f>IF(op!H236=0,"",op!H236)</f>
        <v/>
      </c>
      <c r="I303" s="389" t="str">
        <f>IF(J303="","",(IF(op!I236+1&gt;LOOKUP(H303,schaal2019,regels2019),op!I236,op!I236+1)))</f>
        <v/>
      </c>
      <c r="J303" s="711" t="str">
        <f>IF(op!J236="","",op!J236)</f>
        <v/>
      </c>
      <c r="K303" s="472"/>
      <c r="L303" s="1049">
        <f>IF(op!L236="","",op!L236)</f>
        <v>0</v>
      </c>
      <c r="M303" s="1049">
        <f>IF(op!M236="","",op!M236)</f>
        <v>0</v>
      </c>
      <c r="N303" s="1051" t="str">
        <f t="shared" si="118"/>
        <v/>
      </c>
      <c r="O303" s="1051" t="str">
        <f t="shared" si="119"/>
        <v/>
      </c>
      <c r="P303" s="1125" t="str">
        <f t="shared" si="120"/>
        <v/>
      </c>
      <c r="Q303" s="472"/>
      <c r="R303" s="923" t="str">
        <f t="shared" si="135"/>
        <v/>
      </c>
      <c r="S303" s="923" t="str">
        <f t="shared" si="121"/>
        <v/>
      </c>
      <c r="T303" s="925" t="str">
        <f t="shared" si="122"/>
        <v/>
      </c>
      <c r="U303" s="545"/>
      <c r="V303" s="1103"/>
      <c r="W303" s="1103"/>
      <c r="X303" s="1060"/>
      <c r="Y303" s="1095" t="e">
        <f t="shared" si="123"/>
        <v>#VALUE!</v>
      </c>
      <c r="Z303" s="1094">
        <f>tab!$B$50</f>
        <v>0.6</v>
      </c>
      <c r="AA303" s="1126" t="e">
        <f t="shared" si="124"/>
        <v>#VALUE!</v>
      </c>
      <c r="AB303" s="1126" t="e">
        <f t="shared" si="125"/>
        <v>#VALUE!</v>
      </c>
      <c r="AC303" s="1126" t="e">
        <f t="shared" si="126"/>
        <v>#VALUE!</v>
      </c>
      <c r="AD303" s="1128" t="e">
        <f t="shared" si="127"/>
        <v>#VALUE!</v>
      </c>
      <c r="AE303" s="1128">
        <f t="shared" si="128"/>
        <v>0</v>
      </c>
      <c r="AF303" s="1096">
        <f>IF(H303&gt;8,tab!$B$51,tab!$B$54)</f>
        <v>0.5</v>
      </c>
      <c r="AG303" s="1097">
        <f t="shared" si="129"/>
        <v>0</v>
      </c>
      <c r="AH303" s="1093">
        <f t="shared" si="130"/>
        <v>0</v>
      </c>
      <c r="AI303" s="1120" t="e">
        <f>DATE(YEAR(tab!$G$3),MONTH(G303),DAY(G303))&gt;tab!$G$3</f>
        <v>#VALUE!</v>
      </c>
      <c r="AJ303" s="1120" t="e">
        <f t="shared" si="131"/>
        <v>#VALUE!</v>
      </c>
      <c r="AK303" s="1041">
        <f t="shared" si="132"/>
        <v>30</v>
      </c>
      <c r="AL303" s="1041">
        <f t="shared" si="133"/>
        <v>30</v>
      </c>
      <c r="AM303" s="1047">
        <f t="shared" si="134"/>
        <v>0</v>
      </c>
      <c r="AS303" s="727"/>
    </row>
    <row r="304" spans="3:45" ht="12.75" customHeight="1" x14ac:dyDescent="0.3">
      <c r="C304" s="122"/>
      <c r="D304" s="388" t="str">
        <f>IF(op!D237=0,"",op!D237)</f>
        <v/>
      </c>
      <c r="E304" s="388" t="str">
        <f>IF(op!E237=0,"-",op!E237)</f>
        <v/>
      </c>
      <c r="F304" s="684" t="str">
        <f>IF(op!F237="","",op!F237+1)</f>
        <v/>
      </c>
      <c r="G304" s="710" t="str">
        <f>IF(op!G237="","",op!G237)</f>
        <v/>
      </c>
      <c r="H304" s="684" t="str">
        <f>IF(op!H237=0,"",op!H237)</f>
        <v/>
      </c>
      <c r="I304" s="389" t="str">
        <f>IF(J304="","",(IF(op!I237+1&gt;LOOKUP(H304,schaal2019,regels2019),op!I237,op!I237+1)))</f>
        <v/>
      </c>
      <c r="J304" s="711" t="str">
        <f>IF(op!J237="","",op!J237)</f>
        <v/>
      </c>
      <c r="K304" s="472"/>
      <c r="L304" s="1049">
        <f>IF(op!L237="","",op!L237)</f>
        <v>0</v>
      </c>
      <c r="M304" s="1049">
        <f>IF(op!M237="","",op!M237)</f>
        <v>0</v>
      </c>
      <c r="N304" s="1051" t="str">
        <f t="shared" si="118"/>
        <v/>
      </c>
      <c r="O304" s="1051" t="str">
        <f t="shared" si="119"/>
        <v/>
      </c>
      <c r="P304" s="1125" t="str">
        <f t="shared" si="120"/>
        <v/>
      </c>
      <c r="Q304" s="472"/>
      <c r="R304" s="923" t="str">
        <f t="shared" si="135"/>
        <v/>
      </c>
      <c r="S304" s="923" t="str">
        <f t="shared" si="121"/>
        <v/>
      </c>
      <c r="T304" s="925" t="str">
        <f t="shared" si="122"/>
        <v/>
      </c>
      <c r="U304" s="545"/>
      <c r="V304" s="1103"/>
      <c r="W304" s="1103"/>
      <c r="X304" s="1060"/>
      <c r="Y304" s="1095" t="e">
        <f t="shared" si="123"/>
        <v>#VALUE!</v>
      </c>
      <c r="Z304" s="1094">
        <f>tab!$B$50</f>
        <v>0.6</v>
      </c>
      <c r="AA304" s="1126" t="e">
        <f t="shared" si="124"/>
        <v>#VALUE!</v>
      </c>
      <c r="AB304" s="1126" t="e">
        <f t="shared" si="125"/>
        <v>#VALUE!</v>
      </c>
      <c r="AC304" s="1126" t="e">
        <f t="shared" si="126"/>
        <v>#VALUE!</v>
      </c>
      <c r="AD304" s="1128" t="e">
        <f t="shared" si="127"/>
        <v>#VALUE!</v>
      </c>
      <c r="AE304" s="1128">
        <f t="shared" si="128"/>
        <v>0</v>
      </c>
      <c r="AF304" s="1096">
        <f>IF(H304&gt;8,tab!$B$51,tab!$B$54)</f>
        <v>0.5</v>
      </c>
      <c r="AG304" s="1097">
        <f t="shared" si="129"/>
        <v>0</v>
      </c>
      <c r="AH304" s="1093">
        <f t="shared" si="130"/>
        <v>0</v>
      </c>
      <c r="AI304" s="1120" t="e">
        <f>DATE(YEAR(tab!$G$3),MONTH(G304),DAY(G304))&gt;tab!$G$3</f>
        <v>#VALUE!</v>
      </c>
      <c r="AJ304" s="1120" t="e">
        <f t="shared" si="131"/>
        <v>#VALUE!</v>
      </c>
      <c r="AK304" s="1041">
        <f t="shared" si="132"/>
        <v>30</v>
      </c>
      <c r="AL304" s="1041">
        <f t="shared" si="133"/>
        <v>30</v>
      </c>
      <c r="AM304" s="1047">
        <f t="shared" si="134"/>
        <v>0</v>
      </c>
      <c r="AS304" s="727"/>
    </row>
    <row r="305" spans="3:45" ht="12.75" customHeight="1" x14ac:dyDescent="0.3">
      <c r="C305" s="122"/>
      <c r="D305" s="388" t="str">
        <f>IF(op!D238=0,"",op!D238)</f>
        <v/>
      </c>
      <c r="E305" s="388" t="str">
        <f>IF(op!E238=0,"-",op!E238)</f>
        <v/>
      </c>
      <c r="F305" s="684" t="str">
        <f>IF(op!F238="","",op!F238+1)</f>
        <v/>
      </c>
      <c r="G305" s="710" t="str">
        <f>IF(op!G238="","",op!G238)</f>
        <v/>
      </c>
      <c r="H305" s="684" t="str">
        <f>IF(op!H238=0,"",op!H238)</f>
        <v/>
      </c>
      <c r="I305" s="389" t="str">
        <f>IF(J305="","",(IF(op!I238+1&gt;LOOKUP(H305,schaal2019,regels2019),op!I238,op!I238+1)))</f>
        <v/>
      </c>
      <c r="J305" s="711" t="str">
        <f>IF(op!J238="","",op!J238)</f>
        <v/>
      </c>
      <c r="K305" s="472"/>
      <c r="L305" s="1049">
        <f>IF(op!L238="","",op!L238)</f>
        <v>0</v>
      </c>
      <c r="M305" s="1049">
        <f>IF(op!M238="","",op!M238)</f>
        <v>0</v>
      </c>
      <c r="N305" s="1051" t="str">
        <f t="shared" si="118"/>
        <v/>
      </c>
      <c r="O305" s="1051" t="str">
        <f t="shared" si="119"/>
        <v/>
      </c>
      <c r="P305" s="1125" t="str">
        <f t="shared" si="120"/>
        <v/>
      </c>
      <c r="Q305" s="472"/>
      <c r="R305" s="923" t="str">
        <f t="shared" si="135"/>
        <v/>
      </c>
      <c r="S305" s="923" t="str">
        <f t="shared" si="121"/>
        <v/>
      </c>
      <c r="T305" s="925" t="str">
        <f t="shared" si="122"/>
        <v/>
      </c>
      <c r="U305" s="545"/>
      <c r="V305" s="1103"/>
      <c r="W305" s="1103"/>
      <c r="X305" s="1060"/>
      <c r="Y305" s="1095" t="e">
        <f t="shared" si="123"/>
        <v>#VALUE!</v>
      </c>
      <c r="Z305" s="1094">
        <f>tab!$B$50</f>
        <v>0.6</v>
      </c>
      <c r="AA305" s="1126" t="e">
        <f t="shared" si="124"/>
        <v>#VALUE!</v>
      </c>
      <c r="AB305" s="1126" t="e">
        <f t="shared" si="125"/>
        <v>#VALUE!</v>
      </c>
      <c r="AC305" s="1126" t="e">
        <f t="shared" si="126"/>
        <v>#VALUE!</v>
      </c>
      <c r="AD305" s="1128" t="e">
        <f t="shared" si="127"/>
        <v>#VALUE!</v>
      </c>
      <c r="AE305" s="1128">
        <f t="shared" si="128"/>
        <v>0</v>
      </c>
      <c r="AF305" s="1096">
        <f>IF(H305&gt;8,tab!$B$51,tab!$B$54)</f>
        <v>0.5</v>
      </c>
      <c r="AG305" s="1097">
        <f t="shared" si="129"/>
        <v>0</v>
      </c>
      <c r="AH305" s="1093">
        <f t="shared" si="130"/>
        <v>0</v>
      </c>
      <c r="AI305" s="1120" t="e">
        <f>DATE(YEAR(tab!$G$3),MONTH(G305),DAY(G305))&gt;tab!$G$3</f>
        <v>#VALUE!</v>
      </c>
      <c r="AJ305" s="1120" t="e">
        <f t="shared" si="131"/>
        <v>#VALUE!</v>
      </c>
      <c r="AK305" s="1041">
        <f t="shared" si="132"/>
        <v>30</v>
      </c>
      <c r="AL305" s="1041">
        <f t="shared" si="133"/>
        <v>30</v>
      </c>
      <c r="AM305" s="1047">
        <f t="shared" si="134"/>
        <v>0</v>
      </c>
      <c r="AS305" s="727"/>
    </row>
    <row r="306" spans="3:45" ht="12.75" customHeight="1" x14ac:dyDescent="0.3">
      <c r="C306" s="122"/>
      <c r="D306" s="388" t="str">
        <f>IF(op!D239=0,"",op!D239)</f>
        <v/>
      </c>
      <c r="E306" s="388" t="str">
        <f>IF(op!E239=0,"-",op!E239)</f>
        <v/>
      </c>
      <c r="F306" s="684" t="str">
        <f>IF(op!F239="","",op!F239+1)</f>
        <v/>
      </c>
      <c r="G306" s="710" t="str">
        <f>IF(op!G239="","",op!G239)</f>
        <v/>
      </c>
      <c r="H306" s="684" t="str">
        <f>IF(op!H239=0,"",op!H239)</f>
        <v/>
      </c>
      <c r="I306" s="389" t="str">
        <f>IF(J306="","",(IF(op!I239+1&gt;LOOKUP(H306,schaal2019,regels2019),op!I239,op!I239+1)))</f>
        <v/>
      </c>
      <c r="J306" s="711" t="str">
        <f>IF(op!J239="","",op!J239)</f>
        <v/>
      </c>
      <c r="K306" s="472"/>
      <c r="L306" s="1049">
        <f>IF(op!L239="","",op!L239)</f>
        <v>0</v>
      </c>
      <c r="M306" s="1049">
        <f>IF(op!M239="","",op!M239)</f>
        <v>0</v>
      </c>
      <c r="N306" s="1051" t="str">
        <f t="shared" si="118"/>
        <v/>
      </c>
      <c r="O306" s="1051" t="str">
        <f t="shared" si="119"/>
        <v/>
      </c>
      <c r="P306" s="1125" t="str">
        <f t="shared" si="120"/>
        <v/>
      </c>
      <c r="Q306" s="472"/>
      <c r="R306" s="923" t="str">
        <f t="shared" si="135"/>
        <v/>
      </c>
      <c r="S306" s="923" t="str">
        <f t="shared" si="121"/>
        <v/>
      </c>
      <c r="T306" s="925" t="str">
        <f t="shared" si="122"/>
        <v/>
      </c>
      <c r="U306" s="545"/>
      <c r="V306" s="1103"/>
      <c r="W306" s="1103"/>
      <c r="X306" s="1060"/>
      <c r="Y306" s="1095" t="e">
        <f t="shared" si="123"/>
        <v>#VALUE!</v>
      </c>
      <c r="Z306" s="1094">
        <f>tab!$B$50</f>
        <v>0.6</v>
      </c>
      <c r="AA306" s="1126" t="e">
        <f t="shared" si="124"/>
        <v>#VALUE!</v>
      </c>
      <c r="AB306" s="1126" t="e">
        <f t="shared" si="125"/>
        <v>#VALUE!</v>
      </c>
      <c r="AC306" s="1126" t="e">
        <f t="shared" si="126"/>
        <v>#VALUE!</v>
      </c>
      <c r="AD306" s="1128" t="e">
        <f t="shared" si="127"/>
        <v>#VALUE!</v>
      </c>
      <c r="AE306" s="1128">
        <f t="shared" si="128"/>
        <v>0</v>
      </c>
      <c r="AF306" s="1096">
        <f>IF(H306&gt;8,tab!$B$51,tab!$B$54)</f>
        <v>0.5</v>
      </c>
      <c r="AG306" s="1097">
        <f t="shared" si="129"/>
        <v>0</v>
      </c>
      <c r="AH306" s="1093">
        <f t="shared" si="130"/>
        <v>0</v>
      </c>
      <c r="AI306" s="1120" t="e">
        <f>DATE(YEAR(tab!$G$3),MONTH(G306),DAY(G306))&gt;tab!$G$3</f>
        <v>#VALUE!</v>
      </c>
      <c r="AJ306" s="1120" t="e">
        <f t="shared" si="131"/>
        <v>#VALUE!</v>
      </c>
      <c r="AK306" s="1041">
        <f t="shared" si="132"/>
        <v>30</v>
      </c>
      <c r="AL306" s="1041">
        <f t="shared" si="133"/>
        <v>30</v>
      </c>
      <c r="AM306" s="1047">
        <f t="shared" si="134"/>
        <v>0</v>
      </c>
      <c r="AS306" s="727"/>
    </row>
    <row r="307" spans="3:45" ht="12.75" customHeight="1" x14ac:dyDescent="0.3">
      <c r="C307" s="122"/>
      <c r="D307" s="388" t="str">
        <f>IF(op!D240=0,"",op!D240)</f>
        <v/>
      </c>
      <c r="E307" s="388" t="str">
        <f>IF(op!E240=0,"-",op!E240)</f>
        <v/>
      </c>
      <c r="F307" s="684" t="str">
        <f>IF(op!F240="","",op!F240+1)</f>
        <v/>
      </c>
      <c r="G307" s="710" t="str">
        <f>IF(op!G240="","",op!G240)</f>
        <v/>
      </c>
      <c r="H307" s="684" t="str">
        <f>IF(op!H240=0,"",op!H240)</f>
        <v/>
      </c>
      <c r="I307" s="389" t="str">
        <f>IF(J307="","",(IF(op!I240+1&gt;LOOKUP(H307,schaal2019,regels2019),op!I240,op!I240+1)))</f>
        <v/>
      </c>
      <c r="J307" s="711" t="str">
        <f>IF(op!J240="","",op!J240)</f>
        <v/>
      </c>
      <c r="K307" s="472"/>
      <c r="L307" s="1049">
        <f>IF(op!L240="","",op!L240)</f>
        <v>0</v>
      </c>
      <c r="M307" s="1049">
        <f>IF(op!M240="","",op!M240)</f>
        <v>0</v>
      </c>
      <c r="N307" s="1051" t="str">
        <f t="shared" si="118"/>
        <v/>
      </c>
      <c r="O307" s="1051" t="str">
        <f t="shared" si="119"/>
        <v/>
      </c>
      <c r="P307" s="1125" t="str">
        <f t="shared" si="120"/>
        <v/>
      </c>
      <c r="Q307" s="472"/>
      <c r="R307" s="923" t="str">
        <f t="shared" si="135"/>
        <v/>
      </c>
      <c r="S307" s="923" t="str">
        <f t="shared" si="121"/>
        <v/>
      </c>
      <c r="T307" s="925" t="str">
        <f t="shared" si="122"/>
        <v/>
      </c>
      <c r="U307" s="545"/>
      <c r="V307" s="1103"/>
      <c r="W307" s="1103"/>
      <c r="X307" s="1060"/>
      <c r="Y307" s="1095" t="e">
        <f t="shared" si="123"/>
        <v>#VALUE!</v>
      </c>
      <c r="Z307" s="1094">
        <f>tab!$B$50</f>
        <v>0.6</v>
      </c>
      <c r="AA307" s="1126" t="e">
        <f t="shared" si="124"/>
        <v>#VALUE!</v>
      </c>
      <c r="AB307" s="1126" t="e">
        <f t="shared" si="125"/>
        <v>#VALUE!</v>
      </c>
      <c r="AC307" s="1126" t="e">
        <f t="shared" si="126"/>
        <v>#VALUE!</v>
      </c>
      <c r="AD307" s="1128" t="e">
        <f t="shared" si="127"/>
        <v>#VALUE!</v>
      </c>
      <c r="AE307" s="1128">
        <f t="shared" si="128"/>
        <v>0</v>
      </c>
      <c r="AF307" s="1096">
        <f>IF(H307&gt;8,tab!$B$51,tab!$B$54)</f>
        <v>0.5</v>
      </c>
      <c r="AG307" s="1097">
        <f t="shared" si="129"/>
        <v>0</v>
      </c>
      <c r="AH307" s="1093">
        <f t="shared" si="130"/>
        <v>0</v>
      </c>
      <c r="AI307" s="1120" t="e">
        <f>DATE(YEAR(tab!$G$3),MONTH(G307),DAY(G307))&gt;tab!$G$3</f>
        <v>#VALUE!</v>
      </c>
      <c r="AJ307" s="1120" t="e">
        <f t="shared" si="131"/>
        <v>#VALUE!</v>
      </c>
      <c r="AK307" s="1041">
        <f t="shared" si="132"/>
        <v>30</v>
      </c>
      <c r="AL307" s="1041">
        <f t="shared" si="133"/>
        <v>30</v>
      </c>
      <c r="AM307" s="1047">
        <f t="shared" si="134"/>
        <v>0</v>
      </c>
      <c r="AS307" s="727"/>
    </row>
    <row r="308" spans="3:45" ht="12.75" customHeight="1" x14ac:dyDescent="0.3">
      <c r="C308" s="122"/>
      <c r="D308" s="388" t="str">
        <f>IF(op!D241=0,"",op!D241)</f>
        <v/>
      </c>
      <c r="E308" s="388" t="str">
        <f>IF(op!E241=0,"-",op!E241)</f>
        <v/>
      </c>
      <c r="F308" s="684" t="str">
        <f>IF(op!F241="","",op!F241+1)</f>
        <v/>
      </c>
      <c r="G308" s="710" t="str">
        <f>IF(op!G241="","",op!G241)</f>
        <v/>
      </c>
      <c r="H308" s="684" t="str">
        <f>IF(op!H241=0,"",op!H241)</f>
        <v/>
      </c>
      <c r="I308" s="389" t="str">
        <f>IF(J308="","",(IF(op!I241+1&gt;LOOKUP(H308,schaal2019,regels2019),op!I241,op!I241+1)))</f>
        <v/>
      </c>
      <c r="J308" s="711" t="str">
        <f>IF(op!J241="","",op!J241)</f>
        <v/>
      </c>
      <c r="K308" s="472"/>
      <c r="L308" s="1049">
        <f>IF(op!L241="","",op!L241)</f>
        <v>0</v>
      </c>
      <c r="M308" s="1049">
        <f>IF(op!M241="","",op!M241)</f>
        <v>0</v>
      </c>
      <c r="N308" s="1051" t="str">
        <f t="shared" si="118"/>
        <v/>
      </c>
      <c r="O308" s="1051" t="str">
        <f t="shared" si="119"/>
        <v/>
      </c>
      <c r="P308" s="1125" t="str">
        <f t="shared" si="120"/>
        <v/>
      </c>
      <c r="Q308" s="472"/>
      <c r="R308" s="923" t="str">
        <f t="shared" si="135"/>
        <v/>
      </c>
      <c r="S308" s="923" t="str">
        <f t="shared" si="121"/>
        <v/>
      </c>
      <c r="T308" s="925" t="str">
        <f t="shared" si="122"/>
        <v/>
      </c>
      <c r="U308" s="545"/>
      <c r="V308" s="1103"/>
      <c r="W308" s="1103"/>
      <c r="X308" s="1060"/>
      <c r="Y308" s="1095" t="e">
        <f t="shared" si="123"/>
        <v>#VALUE!</v>
      </c>
      <c r="Z308" s="1094">
        <f>tab!$B$50</f>
        <v>0.6</v>
      </c>
      <c r="AA308" s="1126" t="e">
        <f t="shared" si="124"/>
        <v>#VALUE!</v>
      </c>
      <c r="AB308" s="1126" t="e">
        <f t="shared" si="125"/>
        <v>#VALUE!</v>
      </c>
      <c r="AC308" s="1126" t="e">
        <f t="shared" si="126"/>
        <v>#VALUE!</v>
      </c>
      <c r="AD308" s="1128" t="e">
        <f t="shared" si="127"/>
        <v>#VALUE!</v>
      </c>
      <c r="AE308" s="1128">
        <f t="shared" si="128"/>
        <v>0</v>
      </c>
      <c r="AF308" s="1096">
        <f>IF(H308&gt;8,tab!$B$51,tab!$B$54)</f>
        <v>0.5</v>
      </c>
      <c r="AG308" s="1097">
        <f t="shared" si="129"/>
        <v>0</v>
      </c>
      <c r="AH308" s="1093">
        <f t="shared" si="130"/>
        <v>0</v>
      </c>
      <c r="AI308" s="1120" t="e">
        <f>DATE(YEAR(tab!$G$3),MONTH(G308),DAY(G308))&gt;tab!$G$3</f>
        <v>#VALUE!</v>
      </c>
      <c r="AJ308" s="1120" t="e">
        <f t="shared" si="131"/>
        <v>#VALUE!</v>
      </c>
      <c r="AK308" s="1041">
        <f t="shared" si="132"/>
        <v>30</v>
      </c>
      <c r="AL308" s="1041">
        <f t="shared" si="133"/>
        <v>30</v>
      </c>
      <c r="AM308" s="1047">
        <f t="shared" si="134"/>
        <v>0</v>
      </c>
      <c r="AS308" s="727"/>
    </row>
    <row r="309" spans="3:45" ht="12.75" customHeight="1" x14ac:dyDescent="0.3">
      <c r="C309" s="122"/>
      <c r="D309" s="388" t="str">
        <f>IF(op!D242=0,"",op!D242)</f>
        <v/>
      </c>
      <c r="E309" s="388" t="str">
        <f>IF(op!E242=0,"-",op!E242)</f>
        <v/>
      </c>
      <c r="F309" s="684" t="str">
        <f>IF(op!F242="","",op!F242+1)</f>
        <v/>
      </c>
      <c r="G309" s="710" t="str">
        <f>IF(op!G242="","",op!G242)</f>
        <v/>
      </c>
      <c r="H309" s="684" t="str">
        <f>IF(op!H242=0,"",op!H242)</f>
        <v/>
      </c>
      <c r="I309" s="389" t="str">
        <f>IF(J309="","",(IF(op!I242+1&gt;LOOKUP(H309,schaal2019,regels2019),op!I242,op!I242+1)))</f>
        <v/>
      </c>
      <c r="J309" s="711" t="str">
        <f>IF(op!J242="","",op!J242)</f>
        <v/>
      </c>
      <c r="K309" s="472"/>
      <c r="L309" s="1049">
        <f>IF(op!L242="","",op!L242)</f>
        <v>0</v>
      </c>
      <c r="M309" s="1049">
        <f>IF(op!M242="","",op!M242)</f>
        <v>0</v>
      </c>
      <c r="N309" s="1051" t="str">
        <f t="shared" si="118"/>
        <v/>
      </c>
      <c r="O309" s="1051" t="str">
        <f t="shared" si="119"/>
        <v/>
      </c>
      <c r="P309" s="1125" t="str">
        <f t="shared" si="120"/>
        <v/>
      </c>
      <c r="Q309" s="472"/>
      <c r="R309" s="923" t="str">
        <f t="shared" si="135"/>
        <v/>
      </c>
      <c r="S309" s="923" t="str">
        <f t="shared" si="121"/>
        <v/>
      </c>
      <c r="T309" s="925" t="str">
        <f t="shared" si="122"/>
        <v/>
      </c>
      <c r="U309" s="545"/>
      <c r="V309" s="1103"/>
      <c r="W309" s="1103"/>
      <c r="X309" s="1060"/>
      <c r="Y309" s="1095" t="e">
        <f t="shared" si="123"/>
        <v>#VALUE!</v>
      </c>
      <c r="Z309" s="1094">
        <f>tab!$B$50</f>
        <v>0.6</v>
      </c>
      <c r="AA309" s="1126" t="e">
        <f t="shared" si="124"/>
        <v>#VALUE!</v>
      </c>
      <c r="AB309" s="1126" t="e">
        <f t="shared" si="125"/>
        <v>#VALUE!</v>
      </c>
      <c r="AC309" s="1126" t="e">
        <f t="shared" si="126"/>
        <v>#VALUE!</v>
      </c>
      <c r="AD309" s="1128" t="e">
        <f t="shared" si="127"/>
        <v>#VALUE!</v>
      </c>
      <c r="AE309" s="1128">
        <f t="shared" si="128"/>
        <v>0</v>
      </c>
      <c r="AF309" s="1096">
        <f>IF(H309&gt;8,tab!$B$51,tab!$B$54)</f>
        <v>0.5</v>
      </c>
      <c r="AG309" s="1097">
        <f t="shared" si="129"/>
        <v>0</v>
      </c>
      <c r="AH309" s="1093">
        <f t="shared" si="130"/>
        <v>0</v>
      </c>
      <c r="AI309" s="1120" t="e">
        <f>DATE(YEAR(tab!$G$3),MONTH(G309),DAY(G309))&gt;tab!$G$3</f>
        <v>#VALUE!</v>
      </c>
      <c r="AJ309" s="1120" t="e">
        <f t="shared" si="131"/>
        <v>#VALUE!</v>
      </c>
      <c r="AK309" s="1041">
        <f t="shared" si="132"/>
        <v>30</v>
      </c>
      <c r="AL309" s="1041">
        <f t="shared" si="133"/>
        <v>30</v>
      </c>
      <c r="AM309" s="1047">
        <f t="shared" si="134"/>
        <v>0</v>
      </c>
      <c r="AS309" s="727"/>
    </row>
    <row r="310" spans="3:45" ht="12.75" customHeight="1" x14ac:dyDescent="0.3">
      <c r="C310" s="122"/>
      <c r="D310" s="388" t="str">
        <f>IF(op!D243=0,"",op!D243)</f>
        <v/>
      </c>
      <c r="E310" s="388" t="str">
        <f>IF(op!E243=0,"-",op!E243)</f>
        <v/>
      </c>
      <c r="F310" s="684" t="str">
        <f>IF(op!F243="","",op!F243+1)</f>
        <v/>
      </c>
      <c r="G310" s="710" t="str">
        <f>IF(op!G243="","",op!G243)</f>
        <v/>
      </c>
      <c r="H310" s="684" t="str">
        <f>IF(op!H243=0,"",op!H243)</f>
        <v/>
      </c>
      <c r="I310" s="389" t="str">
        <f>IF(J310="","",(IF(op!I243+1&gt;LOOKUP(H310,schaal2019,regels2019),op!I243,op!I243+1)))</f>
        <v/>
      </c>
      <c r="J310" s="711" t="str">
        <f>IF(op!J243="","",op!J243)</f>
        <v/>
      </c>
      <c r="K310" s="472"/>
      <c r="L310" s="1049">
        <f>IF(op!L243="","",op!L243)</f>
        <v>0</v>
      </c>
      <c r="M310" s="1049">
        <f>IF(op!M243="","",op!M243)</f>
        <v>0</v>
      </c>
      <c r="N310" s="1051" t="str">
        <f t="shared" si="118"/>
        <v/>
      </c>
      <c r="O310" s="1051" t="str">
        <f t="shared" si="119"/>
        <v/>
      </c>
      <c r="P310" s="1125" t="str">
        <f t="shared" si="120"/>
        <v/>
      </c>
      <c r="Q310" s="472"/>
      <c r="R310" s="923" t="str">
        <f t="shared" si="135"/>
        <v/>
      </c>
      <c r="S310" s="923" t="str">
        <f t="shared" si="121"/>
        <v/>
      </c>
      <c r="T310" s="925" t="str">
        <f t="shared" si="122"/>
        <v/>
      </c>
      <c r="U310" s="545"/>
      <c r="V310" s="1103"/>
      <c r="W310" s="1103"/>
      <c r="X310" s="1060"/>
      <c r="Y310" s="1095" t="e">
        <f t="shared" si="123"/>
        <v>#VALUE!</v>
      </c>
      <c r="Z310" s="1094">
        <f>tab!$B$50</f>
        <v>0.6</v>
      </c>
      <c r="AA310" s="1126" t="e">
        <f t="shared" si="124"/>
        <v>#VALUE!</v>
      </c>
      <c r="AB310" s="1126" t="e">
        <f t="shared" si="125"/>
        <v>#VALUE!</v>
      </c>
      <c r="AC310" s="1126" t="e">
        <f t="shared" si="126"/>
        <v>#VALUE!</v>
      </c>
      <c r="AD310" s="1128" t="e">
        <f t="shared" si="127"/>
        <v>#VALUE!</v>
      </c>
      <c r="AE310" s="1128">
        <f t="shared" si="128"/>
        <v>0</v>
      </c>
      <c r="AF310" s="1096">
        <f>IF(H310&gt;8,tab!$B$51,tab!$B$54)</f>
        <v>0.5</v>
      </c>
      <c r="AG310" s="1097">
        <f t="shared" si="129"/>
        <v>0</v>
      </c>
      <c r="AH310" s="1093">
        <f t="shared" si="130"/>
        <v>0</v>
      </c>
      <c r="AI310" s="1120" t="e">
        <f>DATE(YEAR(tab!$G$3),MONTH(G310),DAY(G310))&gt;tab!$G$3</f>
        <v>#VALUE!</v>
      </c>
      <c r="AJ310" s="1120" t="e">
        <f t="shared" si="131"/>
        <v>#VALUE!</v>
      </c>
      <c r="AK310" s="1041">
        <f t="shared" si="132"/>
        <v>30</v>
      </c>
      <c r="AL310" s="1041">
        <f t="shared" si="133"/>
        <v>30</v>
      </c>
      <c r="AM310" s="1047">
        <f t="shared" si="134"/>
        <v>0</v>
      </c>
      <c r="AS310" s="727"/>
    </row>
    <row r="311" spans="3:45" ht="12.75" customHeight="1" x14ac:dyDescent="0.3">
      <c r="C311" s="122"/>
      <c r="D311" s="388" t="str">
        <f>IF(op!D244=0,"",op!D244)</f>
        <v/>
      </c>
      <c r="E311" s="388" t="str">
        <f>IF(op!E244=0,"-",op!E244)</f>
        <v/>
      </c>
      <c r="F311" s="684" t="str">
        <f>IF(op!F244="","",op!F244+1)</f>
        <v/>
      </c>
      <c r="G311" s="710" t="str">
        <f>IF(op!G244="","",op!G244)</f>
        <v/>
      </c>
      <c r="H311" s="684" t="str">
        <f>IF(op!H244=0,"",op!H244)</f>
        <v/>
      </c>
      <c r="I311" s="389" t="str">
        <f>IF(J311="","",(IF(op!I244+1&gt;LOOKUP(H311,schaal2019,regels2019),op!I244,op!I244+1)))</f>
        <v/>
      </c>
      <c r="J311" s="711" t="str">
        <f>IF(op!J244="","",op!J244)</f>
        <v/>
      </c>
      <c r="K311" s="472"/>
      <c r="L311" s="1049">
        <f>IF(op!L244="","",op!L244)</f>
        <v>0</v>
      </c>
      <c r="M311" s="1049">
        <f>IF(op!M244="","",op!M244)</f>
        <v>0</v>
      </c>
      <c r="N311" s="1051" t="str">
        <f t="shared" si="118"/>
        <v/>
      </c>
      <c r="O311" s="1051" t="str">
        <f t="shared" si="119"/>
        <v/>
      </c>
      <c r="P311" s="1125" t="str">
        <f t="shared" si="120"/>
        <v/>
      </c>
      <c r="Q311" s="472"/>
      <c r="R311" s="923" t="str">
        <f t="shared" si="135"/>
        <v/>
      </c>
      <c r="S311" s="923" t="str">
        <f t="shared" si="121"/>
        <v/>
      </c>
      <c r="T311" s="925" t="str">
        <f t="shared" si="122"/>
        <v/>
      </c>
      <c r="U311" s="545"/>
      <c r="V311" s="1103"/>
      <c r="W311" s="1103"/>
      <c r="X311" s="1060"/>
      <c r="Y311" s="1095" t="e">
        <f t="shared" si="123"/>
        <v>#VALUE!</v>
      </c>
      <c r="Z311" s="1094">
        <f>tab!$B$50</f>
        <v>0.6</v>
      </c>
      <c r="AA311" s="1126" t="e">
        <f t="shared" si="124"/>
        <v>#VALUE!</v>
      </c>
      <c r="AB311" s="1126" t="e">
        <f t="shared" si="125"/>
        <v>#VALUE!</v>
      </c>
      <c r="AC311" s="1126" t="e">
        <f t="shared" si="126"/>
        <v>#VALUE!</v>
      </c>
      <c r="AD311" s="1128" t="e">
        <f t="shared" si="127"/>
        <v>#VALUE!</v>
      </c>
      <c r="AE311" s="1128">
        <f t="shared" si="128"/>
        <v>0</v>
      </c>
      <c r="AF311" s="1096">
        <f>IF(H311&gt;8,tab!$B$51,tab!$B$54)</f>
        <v>0.5</v>
      </c>
      <c r="AG311" s="1097">
        <f t="shared" si="129"/>
        <v>0</v>
      </c>
      <c r="AH311" s="1093">
        <f t="shared" si="130"/>
        <v>0</v>
      </c>
      <c r="AI311" s="1120" t="e">
        <f>DATE(YEAR(tab!$G$3),MONTH(G311),DAY(G311))&gt;tab!$G$3</f>
        <v>#VALUE!</v>
      </c>
      <c r="AJ311" s="1120" t="e">
        <f t="shared" si="131"/>
        <v>#VALUE!</v>
      </c>
      <c r="AK311" s="1041">
        <f t="shared" si="132"/>
        <v>30</v>
      </c>
      <c r="AL311" s="1041">
        <f t="shared" si="133"/>
        <v>30</v>
      </c>
      <c r="AM311" s="1047">
        <f t="shared" si="134"/>
        <v>0</v>
      </c>
      <c r="AS311" s="727"/>
    </row>
    <row r="312" spans="3:45" ht="12.75" customHeight="1" x14ac:dyDescent="0.3">
      <c r="C312" s="122"/>
      <c r="D312" s="388" t="str">
        <f>IF(op!D245=0,"",op!D245)</f>
        <v/>
      </c>
      <c r="E312" s="388" t="str">
        <f>IF(op!E245=0,"-",op!E245)</f>
        <v/>
      </c>
      <c r="F312" s="684" t="str">
        <f>IF(op!F245="","",op!F245+1)</f>
        <v/>
      </c>
      <c r="G312" s="710" t="str">
        <f>IF(op!G245="","",op!G245)</f>
        <v/>
      </c>
      <c r="H312" s="684" t="str">
        <f>IF(op!H245=0,"",op!H245)</f>
        <v/>
      </c>
      <c r="I312" s="389" t="str">
        <f>IF(J312="","",(IF(op!I245+1&gt;LOOKUP(H312,schaal2019,regels2019),op!I245,op!I245+1)))</f>
        <v/>
      </c>
      <c r="J312" s="711" t="str">
        <f>IF(op!J245="","",op!J245)</f>
        <v/>
      </c>
      <c r="K312" s="472"/>
      <c r="L312" s="1049">
        <f>IF(op!L245="","",op!L245)</f>
        <v>0</v>
      </c>
      <c r="M312" s="1049">
        <f>IF(op!M245="","",op!M245)</f>
        <v>0</v>
      </c>
      <c r="N312" s="1051" t="str">
        <f t="shared" si="118"/>
        <v/>
      </c>
      <c r="O312" s="1051" t="str">
        <f t="shared" si="119"/>
        <v/>
      </c>
      <c r="P312" s="1125" t="str">
        <f t="shared" si="120"/>
        <v/>
      </c>
      <c r="Q312" s="472"/>
      <c r="R312" s="923" t="str">
        <f t="shared" si="135"/>
        <v/>
      </c>
      <c r="S312" s="923" t="str">
        <f t="shared" si="121"/>
        <v/>
      </c>
      <c r="T312" s="925" t="str">
        <f t="shared" si="122"/>
        <v/>
      </c>
      <c r="U312" s="545"/>
      <c r="V312" s="1103"/>
      <c r="W312" s="1103"/>
      <c r="X312" s="1060"/>
      <c r="Y312" s="1095" t="e">
        <f t="shared" si="123"/>
        <v>#VALUE!</v>
      </c>
      <c r="Z312" s="1094">
        <f>tab!$B$50</f>
        <v>0.6</v>
      </c>
      <c r="AA312" s="1126" t="e">
        <f t="shared" si="124"/>
        <v>#VALUE!</v>
      </c>
      <c r="AB312" s="1126" t="e">
        <f t="shared" si="125"/>
        <v>#VALUE!</v>
      </c>
      <c r="AC312" s="1126" t="e">
        <f t="shared" si="126"/>
        <v>#VALUE!</v>
      </c>
      <c r="AD312" s="1128" t="e">
        <f t="shared" si="127"/>
        <v>#VALUE!</v>
      </c>
      <c r="AE312" s="1128">
        <f t="shared" si="128"/>
        <v>0</v>
      </c>
      <c r="AF312" s="1096">
        <f>IF(H312&gt;8,tab!$B$51,tab!$B$54)</f>
        <v>0.5</v>
      </c>
      <c r="AG312" s="1097">
        <f t="shared" si="129"/>
        <v>0</v>
      </c>
      <c r="AH312" s="1093">
        <f t="shared" si="130"/>
        <v>0</v>
      </c>
      <c r="AI312" s="1120" t="e">
        <f>DATE(YEAR(tab!$G$3),MONTH(G312),DAY(G312))&gt;tab!$G$3</f>
        <v>#VALUE!</v>
      </c>
      <c r="AJ312" s="1120" t="e">
        <f t="shared" si="131"/>
        <v>#VALUE!</v>
      </c>
      <c r="AK312" s="1041">
        <f t="shared" si="132"/>
        <v>30</v>
      </c>
      <c r="AL312" s="1041">
        <f t="shared" si="133"/>
        <v>30</v>
      </c>
      <c r="AM312" s="1047">
        <f t="shared" si="134"/>
        <v>0</v>
      </c>
      <c r="AS312" s="727"/>
    </row>
    <row r="313" spans="3:45" ht="12.75" customHeight="1" x14ac:dyDescent="0.3">
      <c r="C313" s="122"/>
      <c r="D313" s="388" t="str">
        <f>IF(op!D246=0,"",op!D246)</f>
        <v/>
      </c>
      <c r="E313" s="388" t="str">
        <f>IF(op!E246=0,"-",op!E246)</f>
        <v/>
      </c>
      <c r="F313" s="684" t="str">
        <f>IF(op!F246="","",op!F246+1)</f>
        <v/>
      </c>
      <c r="G313" s="710" t="str">
        <f>IF(op!G246="","",op!G246)</f>
        <v/>
      </c>
      <c r="H313" s="684" t="str">
        <f>IF(op!H246=0,"",op!H246)</f>
        <v/>
      </c>
      <c r="I313" s="389" t="str">
        <f>IF(J313="","",(IF(op!I246+1&gt;LOOKUP(H313,schaal2019,regels2019),op!I246,op!I246+1)))</f>
        <v/>
      </c>
      <c r="J313" s="711" t="str">
        <f>IF(op!J246="","",op!J246)</f>
        <v/>
      </c>
      <c r="K313" s="472"/>
      <c r="L313" s="1049">
        <f>IF(op!L246="","",op!L246)</f>
        <v>0</v>
      </c>
      <c r="M313" s="1049">
        <f>IF(op!M246="","",op!M246)</f>
        <v>0</v>
      </c>
      <c r="N313" s="1051" t="str">
        <f t="shared" si="118"/>
        <v/>
      </c>
      <c r="O313" s="1051" t="str">
        <f t="shared" si="119"/>
        <v/>
      </c>
      <c r="P313" s="1125" t="str">
        <f t="shared" si="120"/>
        <v/>
      </c>
      <c r="Q313" s="472"/>
      <c r="R313" s="923" t="str">
        <f t="shared" si="135"/>
        <v/>
      </c>
      <c r="S313" s="923" t="str">
        <f t="shared" si="121"/>
        <v/>
      </c>
      <c r="T313" s="925" t="str">
        <f t="shared" si="122"/>
        <v/>
      </c>
      <c r="U313" s="545"/>
      <c r="V313" s="1103"/>
      <c r="W313" s="1103"/>
      <c r="X313" s="1060"/>
      <c r="Y313" s="1095" t="e">
        <f t="shared" si="123"/>
        <v>#VALUE!</v>
      </c>
      <c r="Z313" s="1094">
        <f>tab!$B$50</f>
        <v>0.6</v>
      </c>
      <c r="AA313" s="1126" t="e">
        <f t="shared" si="124"/>
        <v>#VALUE!</v>
      </c>
      <c r="AB313" s="1126" t="e">
        <f t="shared" si="125"/>
        <v>#VALUE!</v>
      </c>
      <c r="AC313" s="1126" t="e">
        <f t="shared" si="126"/>
        <v>#VALUE!</v>
      </c>
      <c r="AD313" s="1128" t="e">
        <f t="shared" si="127"/>
        <v>#VALUE!</v>
      </c>
      <c r="AE313" s="1128">
        <f t="shared" si="128"/>
        <v>0</v>
      </c>
      <c r="AF313" s="1096">
        <f>IF(H313&gt;8,tab!$B$51,tab!$B$54)</f>
        <v>0.5</v>
      </c>
      <c r="AG313" s="1097">
        <f t="shared" si="129"/>
        <v>0</v>
      </c>
      <c r="AH313" s="1093">
        <f t="shared" si="130"/>
        <v>0</v>
      </c>
      <c r="AI313" s="1120" t="e">
        <f>DATE(YEAR(tab!$G$3),MONTH(G313),DAY(G313))&gt;tab!$G$3</f>
        <v>#VALUE!</v>
      </c>
      <c r="AJ313" s="1120" t="e">
        <f t="shared" si="131"/>
        <v>#VALUE!</v>
      </c>
      <c r="AK313" s="1041">
        <f t="shared" si="132"/>
        <v>30</v>
      </c>
      <c r="AL313" s="1041">
        <f t="shared" si="133"/>
        <v>30</v>
      </c>
      <c r="AM313" s="1047">
        <f t="shared" si="134"/>
        <v>0</v>
      </c>
      <c r="AS313" s="727"/>
    </row>
    <row r="314" spans="3:45" ht="12.75" customHeight="1" x14ac:dyDescent="0.3">
      <c r="C314" s="122"/>
      <c r="D314" s="388" t="str">
        <f>IF(op!D247=0,"",op!D247)</f>
        <v/>
      </c>
      <c r="E314" s="388" t="str">
        <f>IF(op!E247=0,"-",op!E247)</f>
        <v/>
      </c>
      <c r="F314" s="684" t="str">
        <f>IF(op!F247="","",op!F247+1)</f>
        <v/>
      </c>
      <c r="G314" s="710" t="str">
        <f>IF(op!G247="","",op!G247)</f>
        <v/>
      </c>
      <c r="H314" s="684" t="str">
        <f>IF(op!H247=0,"",op!H247)</f>
        <v/>
      </c>
      <c r="I314" s="389" t="str">
        <f>IF(J314="","",(IF(op!I247+1&gt;LOOKUP(H314,schaal2019,regels2019),op!I247,op!I247+1)))</f>
        <v/>
      </c>
      <c r="J314" s="711" t="str">
        <f>IF(op!J247="","",op!J247)</f>
        <v/>
      </c>
      <c r="K314" s="472"/>
      <c r="L314" s="1049">
        <f>IF(op!L247="","",op!L247)</f>
        <v>0</v>
      </c>
      <c r="M314" s="1049">
        <f>IF(op!M247="","",op!M247)</f>
        <v>0</v>
      </c>
      <c r="N314" s="1051" t="str">
        <f t="shared" si="118"/>
        <v/>
      </c>
      <c r="O314" s="1051" t="str">
        <f t="shared" si="119"/>
        <v/>
      </c>
      <c r="P314" s="1125" t="str">
        <f t="shared" si="120"/>
        <v/>
      </c>
      <c r="Q314" s="472"/>
      <c r="R314" s="923" t="str">
        <f t="shared" si="135"/>
        <v/>
      </c>
      <c r="S314" s="923" t="str">
        <f t="shared" si="121"/>
        <v/>
      </c>
      <c r="T314" s="925" t="str">
        <f t="shared" si="122"/>
        <v/>
      </c>
      <c r="U314" s="545"/>
      <c r="V314" s="1103"/>
      <c r="W314" s="1103"/>
      <c r="X314" s="1060"/>
      <c r="Y314" s="1095" t="e">
        <f t="shared" si="123"/>
        <v>#VALUE!</v>
      </c>
      <c r="Z314" s="1094">
        <f>tab!$B$50</f>
        <v>0.6</v>
      </c>
      <c r="AA314" s="1126" t="e">
        <f t="shared" si="124"/>
        <v>#VALUE!</v>
      </c>
      <c r="AB314" s="1126" t="e">
        <f t="shared" si="125"/>
        <v>#VALUE!</v>
      </c>
      <c r="AC314" s="1126" t="e">
        <f t="shared" si="126"/>
        <v>#VALUE!</v>
      </c>
      <c r="AD314" s="1128" t="e">
        <f t="shared" si="127"/>
        <v>#VALUE!</v>
      </c>
      <c r="AE314" s="1128">
        <f t="shared" si="128"/>
        <v>0</v>
      </c>
      <c r="AF314" s="1096">
        <f>IF(H314&gt;8,tab!$B$51,tab!$B$54)</f>
        <v>0.5</v>
      </c>
      <c r="AG314" s="1097">
        <f t="shared" si="129"/>
        <v>0</v>
      </c>
      <c r="AH314" s="1093">
        <f t="shared" si="130"/>
        <v>0</v>
      </c>
      <c r="AI314" s="1120" t="e">
        <f>DATE(YEAR(tab!$G$3),MONTH(G314),DAY(G314))&gt;tab!$G$3</f>
        <v>#VALUE!</v>
      </c>
      <c r="AJ314" s="1120" t="e">
        <f t="shared" si="131"/>
        <v>#VALUE!</v>
      </c>
      <c r="AK314" s="1041">
        <f t="shared" si="132"/>
        <v>30</v>
      </c>
      <c r="AL314" s="1041">
        <f t="shared" si="133"/>
        <v>30</v>
      </c>
      <c r="AM314" s="1047">
        <f t="shared" si="134"/>
        <v>0</v>
      </c>
      <c r="AS314" s="727"/>
    </row>
    <row r="315" spans="3:45" ht="12.75" customHeight="1" x14ac:dyDescent="0.3">
      <c r="C315" s="122"/>
      <c r="D315" s="388" t="str">
        <f>IF(op!D248=0,"",op!D248)</f>
        <v/>
      </c>
      <c r="E315" s="388" t="str">
        <f>IF(op!E248=0,"-",op!E248)</f>
        <v/>
      </c>
      <c r="F315" s="684" t="str">
        <f>IF(op!F248="","",op!F248+1)</f>
        <v/>
      </c>
      <c r="G315" s="710" t="str">
        <f>IF(op!G248="","",op!G248)</f>
        <v/>
      </c>
      <c r="H315" s="684" t="str">
        <f>IF(op!H248=0,"",op!H248)</f>
        <v/>
      </c>
      <c r="I315" s="389" t="str">
        <f>IF(J315="","",(IF(op!I248+1&gt;LOOKUP(H315,schaal2019,regels2019),op!I248,op!I248+1)))</f>
        <v/>
      </c>
      <c r="J315" s="711" t="str">
        <f>IF(op!J248="","",op!J248)</f>
        <v/>
      </c>
      <c r="K315" s="472"/>
      <c r="L315" s="1049">
        <f>IF(op!L248="","",op!L248)</f>
        <v>0</v>
      </c>
      <c r="M315" s="1049">
        <f>IF(op!M248="","",op!M248)</f>
        <v>0</v>
      </c>
      <c r="N315" s="1051" t="str">
        <f t="shared" si="118"/>
        <v/>
      </c>
      <c r="O315" s="1051" t="str">
        <f t="shared" si="119"/>
        <v/>
      </c>
      <c r="P315" s="1125" t="str">
        <f t="shared" si="120"/>
        <v/>
      </c>
      <c r="Q315" s="472"/>
      <c r="R315" s="923" t="str">
        <f t="shared" si="135"/>
        <v/>
      </c>
      <c r="S315" s="923" t="str">
        <f t="shared" si="121"/>
        <v/>
      </c>
      <c r="T315" s="925" t="str">
        <f t="shared" si="122"/>
        <v/>
      </c>
      <c r="U315" s="545"/>
      <c r="V315" s="1103"/>
      <c r="W315" s="1103"/>
      <c r="X315" s="1060"/>
      <c r="Y315" s="1095" t="e">
        <f t="shared" si="123"/>
        <v>#VALUE!</v>
      </c>
      <c r="Z315" s="1094">
        <f>tab!$B$50</f>
        <v>0.6</v>
      </c>
      <c r="AA315" s="1126" t="e">
        <f t="shared" si="124"/>
        <v>#VALUE!</v>
      </c>
      <c r="AB315" s="1126" t="e">
        <f t="shared" si="125"/>
        <v>#VALUE!</v>
      </c>
      <c r="AC315" s="1126" t="e">
        <f t="shared" si="126"/>
        <v>#VALUE!</v>
      </c>
      <c r="AD315" s="1128" t="e">
        <f t="shared" si="127"/>
        <v>#VALUE!</v>
      </c>
      <c r="AE315" s="1128">
        <f t="shared" si="128"/>
        <v>0</v>
      </c>
      <c r="AF315" s="1096">
        <f>IF(H315&gt;8,tab!$B$51,tab!$B$54)</f>
        <v>0.5</v>
      </c>
      <c r="AG315" s="1097">
        <f t="shared" si="129"/>
        <v>0</v>
      </c>
      <c r="AH315" s="1093">
        <f t="shared" si="130"/>
        <v>0</v>
      </c>
      <c r="AI315" s="1120" t="e">
        <f>DATE(YEAR(tab!$G$3),MONTH(G315),DAY(G315))&gt;tab!$G$3</f>
        <v>#VALUE!</v>
      </c>
      <c r="AJ315" s="1120" t="e">
        <f t="shared" si="131"/>
        <v>#VALUE!</v>
      </c>
      <c r="AK315" s="1041">
        <f t="shared" si="132"/>
        <v>30</v>
      </c>
      <c r="AL315" s="1041">
        <f t="shared" si="133"/>
        <v>30</v>
      </c>
      <c r="AM315" s="1047">
        <f t="shared" si="134"/>
        <v>0</v>
      </c>
      <c r="AS315" s="727"/>
    </row>
    <row r="316" spans="3:45" ht="12.75" customHeight="1" x14ac:dyDescent="0.3">
      <c r="C316" s="122"/>
      <c r="D316" s="388" t="str">
        <f>IF(op!D249=0,"",op!D249)</f>
        <v/>
      </c>
      <c r="E316" s="388" t="str">
        <f>IF(op!E249=0,"-",op!E249)</f>
        <v/>
      </c>
      <c r="F316" s="684" t="str">
        <f>IF(op!F249="","",op!F249+1)</f>
        <v/>
      </c>
      <c r="G316" s="710" t="str">
        <f>IF(op!G249="","",op!G249)</f>
        <v/>
      </c>
      <c r="H316" s="684" t="str">
        <f>IF(op!H249=0,"",op!H249)</f>
        <v/>
      </c>
      <c r="I316" s="389" t="str">
        <f>IF(J316="","",(IF(op!I249+1&gt;LOOKUP(H316,schaal2019,regels2019),op!I249,op!I249+1)))</f>
        <v/>
      </c>
      <c r="J316" s="711" t="str">
        <f>IF(op!J249="","",op!J249)</f>
        <v/>
      </c>
      <c r="K316" s="472"/>
      <c r="L316" s="1049">
        <f>IF(op!L249="","",op!L249)</f>
        <v>0</v>
      </c>
      <c r="M316" s="1049">
        <f>IF(op!M249="","",op!M249)</f>
        <v>0</v>
      </c>
      <c r="N316" s="1051" t="str">
        <f t="shared" si="118"/>
        <v/>
      </c>
      <c r="O316" s="1051" t="str">
        <f t="shared" si="119"/>
        <v/>
      </c>
      <c r="P316" s="1125" t="str">
        <f t="shared" si="120"/>
        <v/>
      </c>
      <c r="Q316" s="472"/>
      <c r="R316" s="923" t="str">
        <f t="shared" si="135"/>
        <v/>
      </c>
      <c r="S316" s="923" t="str">
        <f t="shared" si="121"/>
        <v/>
      </c>
      <c r="T316" s="925" t="str">
        <f t="shared" si="122"/>
        <v/>
      </c>
      <c r="U316" s="545"/>
      <c r="V316" s="1103"/>
      <c r="W316" s="1103"/>
      <c r="X316" s="1060"/>
      <c r="Y316" s="1095" t="e">
        <f t="shared" si="123"/>
        <v>#VALUE!</v>
      </c>
      <c r="Z316" s="1094">
        <f>tab!$B$50</f>
        <v>0.6</v>
      </c>
      <c r="AA316" s="1126" t="e">
        <f t="shared" si="124"/>
        <v>#VALUE!</v>
      </c>
      <c r="AB316" s="1126" t="e">
        <f t="shared" si="125"/>
        <v>#VALUE!</v>
      </c>
      <c r="AC316" s="1126" t="e">
        <f t="shared" si="126"/>
        <v>#VALUE!</v>
      </c>
      <c r="AD316" s="1128" t="e">
        <f t="shared" si="127"/>
        <v>#VALUE!</v>
      </c>
      <c r="AE316" s="1128">
        <f t="shared" si="128"/>
        <v>0</v>
      </c>
      <c r="AF316" s="1096">
        <f>IF(H316&gt;8,tab!$B$51,tab!$B$54)</f>
        <v>0.5</v>
      </c>
      <c r="AG316" s="1097">
        <f t="shared" si="129"/>
        <v>0</v>
      </c>
      <c r="AH316" s="1093">
        <f t="shared" si="130"/>
        <v>0</v>
      </c>
      <c r="AI316" s="1120" t="e">
        <f>DATE(YEAR(tab!$G$3),MONTH(G316),DAY(G316))&gt;tab!$G$3</f>
        <v>#VALUE!</v>
      </c>
      <c r="AJ316" s="1120" t="e">
        <f t="shared" si="131"/>
        <v>#VALUE!</v>
      </c>
      <c r="AK316" s="1041">
        <f t="shared" si="132"/>
        <v>30</v>
      </c>
      <c r="AL316" s="1041">
        <f t="shared" si="133"/>
        <v>30</v>
      </c>
      <c r="AM316" s="1047">
        <f t="shared" si="134"/>
        <v>0</v>
      </c>
      <c r="AS316" s="727"/>
    </row>
    <row r="317" spans="3:45" ht="12.75" customHeight="1" x14ac:dyDescent="0.3">
      <c r="C317" s="122"/>
      <c r="D317" s="388" t="str">
        <f>IF(op!D250=0,"",op!D250)</f>
        <v/>
      </c>
      <c r="E317" s="388" t="str">
        <f>IF(op!E250=0,"-",op!E250)</f>
        <v/>
      </c>
      <c r="F317" s="684" t="str">
        <f>IF(op!F250="","",op!F250+1)</f>
        <v/>
      </c>
      <c r="G317" s="710" t="str">
        <f>IF(op!G250="","",op!G250)</f>
        <v/>
      </c>
      <c r="H317" s="684" t="str">
        <f>IF(op!H250=0,"",op!H250)</f>
        <v/>
      </c>
      <c r="I317" s="389" t="str">
        <f>IF(J317="","",(IF(op!I250+1&gt;LOOKUP(H317,schaal2019,regels2019),op!I250,op!I250+1)))</f>
        <v/>
      </c>
      <c r="J317" s="711" t="str">
        <f>IF(op!J250="","",op!J250)</f>
        <v/>
      </c>
      <c r="K317" s="472"/>
      <c r="L317" s="1049">
        <f>IF(op!L250="","",op!L250)</f>
        <v>0</v>
      </c>
      <c r="M317" s="1049">
        <f>IF(op!M250="","",op!M250)</f>
        <v>0</v>
      </c>
      <c r="N317" s="1051" t="str">
        <f t="shared" si="118"/>
        <v/>
      </c>
      <c r="O317" s="1051" t="str">
        <f t="shared" si="119"/>
        <v/>
      </c>
      <c r="P317" s="1125" t="str">
        <f t="shared" si="120"/>
        <v/>
      </c>
      <c r="Q317" s="472"/>
      <c r="R317" s="923" t="str">
        <f t="shared" si="135"/>
        <v/>
      </c>
      <c r="S317" s="923" t="str">
        <f t="shared" si="121"/>
        <v/>
      </c>
      <c r="T317" s="925" t="str">
        <f t="shared" si="122"/>
        <v/>
      </c>
      <c r="U317" s="545"/>
      <c r="V317" s="1103"/>
      <c r="W317" s="1103"/>
      <c r="X317" s="1060"/>
      <c r="Y317" s="1095" t="e">
        <f t="shared" si="123"/>
        <v>#VALUE!</v>
      </c>
      <c r="Z317" s="1094">
        <f>tab!$B$50</f>
        <v>0.6</v>
      </c>
      <c r="AA317" s="1126" t="e">
        <f t="shared" si="124"/>
        <v>#VALUE!</v>
      </c>
      <c r="AB317" s="1126" t="e">
        <f t="shared" si="125"/>
        <v>#VALUE!</v>
      </c>
      <c r="AC317" s="1126" t="e">
        <f t="shared" si="126"/>
        <v>#VALUE!</v>
      </c>
      <c r="AD317" s="1128" t="e">
        <f t="shared" si="127"/>
        <v>#VALUE!</v>
      </c>
      <c r="AE317" s="1128">
        <f t="shared" si="128"/>
        <v>0</v>
      </c>
      <c r="AF317" s="1096">
        <f>IF(H317&gt;8,tab!$B$51,tab!$B$54)</f>
        <v>0.5</v>
      </c>
      <c r="AG317" s="1097">
        <f t="shared" si="129"/>
        <v>0</v>
      </c>
      <c r="AH317" s="1093">
        <f t="shared" si="130"/>
        <v>0</v>
      </c>
      <c r="AI317" s="1120" t="e">
        <f>DATE(YEAR(tab!$G$3),MONTH(G317),DAY(G317))&gt;tab!$G$3</f>
        <v>#VALUE!</v>
      </c>
      <c r="AJ317" s="1120" t="e">
        <f t="shared" si="131"/>
        <v>#VALUE!</v>
      </c>
      <c r="AK317" s="1041">
        <f t="shared" si="132"/>
        <v>30</v>
      </c>
      <c r="AL317" s="1041">
        <f t="shared" si="133"/>
        <v>30</v>
      </c>
      <c r="AM317" s="1047">
        <f t="shared" si="134"/>
        <v>0</v>
      </c>
      <c r="AS317" s="727"/>
    </row>
    <row r="318" spans="3:45" ht="12.75" customHeight="1" x14ac:dyDescent="0.3">
      <c r="C318" s="122"/>
      <c r="D318" s="388" t="str">
        <f>IF(op!D251=0,"",op!D251)</f>
        <v/>
      </c>
      <c r="E318" s="388" t="str">
        <f>IF(op!E251=0,"-",op!E251)</f>
        <v/>
      </c>
      <c r="F318" s="684" t="str">
        <f>IF(op!F251="","",op!F251+1)</f>
        <v/>
      </c>
      <c r="G318" s="710" t="str">
        <f>IF(op!G251="","",op!G251)</f>
        <v/>
      </c>
      <c r="H318" s="684" t="str">
        <f>IF(op!H251=0,"",op!H251)</f>
        <v/>
      </c>
      <c r="I318" s="389" t="str">
        <f>IF(J318="","",(IF(op!I251+1&gt;LOOKUP(H318,schaal2019,regels2019),op!I251,op!I251+1)))</f>
        <v/>
      </c>
      <c r="J318" s="711" t="str">
        <f>IF(op!J251="","",op!J251)</f>
        <v/>
      </c>
      <c r="K318" s="472"/>
      <c r="L318" s="1049">
        <f>IF(op!L251="","",op!L251)</f>
        <v>0</v>
      </c>
      <c r="M318" s="1049">
        <f>IF(op!M251="","",op!M251)</f>
        <v>0</v>
      </c>
      <c r="N318" s="1051" t="str">
        <f t="shared" si="118"/>
        <v/>
      </c>
      <c r="O318" s="1051" t="str">
        <f t="shared" si="119"/>
        <v/>
      </c>
      <c r="P318" s="1125" t="str">
        <f t="shared" si="120"/>
        <v/>
      </c>
      <c r="Q318" s="472"/>
      <c r="R318" s="923" t="str">
        <f t="shared" si="135"/>
        <v/>
      </c>
      <c r="S318" s="923" t="str">
        <f t="shared" si="121"/>
        <v/>
      </c>
      <c r="T318" s="925" t="str">
        <f t="shared" si="122"/>
        <v/>
      </c>
      <c r="U318" s="545"/>
      <c r="V318" s="1103"/>
      <c r="W318" s="1103"/>
      <c r="X318" s="1060"/>
      <c r="Y318" s="1095" t="e">
        <f t="shared" ref="Y318:Y341" si="136">ROUND(5/12*VLOOKUP(H318,salaris2021,I318+1,FALSE)+7/12*VLOOKUP(H318,salaris2021,I318+1,FALSE),0)</f>
        <v>#VALUE!</v>
      </c>
      <c r="Z318" s="1094">
        <f>tab!$B$50</f>
        <v>0.6</v>
      </c>
      <c r="AA318" s="1126" t="e">
        <f t="shared" si="124"/>
        <v>#VALUE!</v>
      </c>
      <c r="AB318" s="1126" t="e">
        <f t="shared" si="125"/>
        <v>#VALUE!</v>
      </c>
      <c r="AC318" s="1126" t="e">
        <f t="shared" si="126"/>
        <v>#VALUE!</v>
      </c>
      <c r="AD318" s="1128" t="e">
        <f t="shared" si="127"/>
        <v>#VALUE!</v>
      </c>
      <c r="AE318" s="1128">
        <f t="shared" si="128"/>
        <v>0</v>
      </c>
      <c r="AF318" s="1096">
        <f>IF(H318&gt;8,tab!$B$51,tab!$B$54)</f>
        <v>0.5</v>
      </c>
      <c r="AG318" s="1097">
        <f t="shared" ref="AG318:AG340" si="137">IF(F318&lt;25,0,IF(F318=25,25,IF(F318&lt;40,0,IF(F318=40,40,IF(F318&gt;=40,0)))))</f>
        <v>0</v>
      </c>
      <c r="AH318" s="1093">
        <f t="shared" ref="AH318:AH340" si="138">IF(AG318=25,(Y318*1.08*(J318)/2),IF(AG318=40,(Y318*1.08*(J318)),IF(AG318=0,0)))</f>
        <v>0</v>
      </c>
      <c r="AI318" s="1120" t="e">
        <f>DATE(YEAR(tab!$G$3),MONTH(G318),DAY(G318))&gt;tab!$G$3</f>
        <v>#VALUE!</v>
      </c>
      <c r="AJ318" s="1120" t="e">
        <f t="shared" ref="AJ318:AJ340" si="139">YEAR($E$279)-YEAR(G318)-AI318</f>
        <v>#VALUE!</v>
      </c>
      <c r="AK318" s="1041">
        <f t="shared" ref="AK318:AK340" si="140">IF((G318=""),30,AJ318)</f>
        <v>30</v>
      </c>
      <c r="AL318" s="1041">
        <f t="shared" ref="AL318:AL340" si="141">IF((AK318)&gt;50,50,(AK318))</f>
        <v>30</v>
      </c>
      <c r="AM318" s="1047">
        <f t="shared" ref="AM318:AM340" si="142">(AL318*(SUM(J318:J318)))</f>
        <v>0</v>
      </c>
      <c r="AS318" s="727"/>
    </row>
    <row r="319" spans="3:45" ht="12.75" customHeight="1" x14ac:dyDescent="0.3">
      <c r="C319" s="122"/>
      <c r="D319" s="388" t="str">
        <f>IF(op!D252=0,"",op!D252)</f>
        <v/>
      </c>
      <c r="E319" s="388" t="str">
        <f>IF(op!E252=0,"-",op!E252)</f>
        <v/>
      </c>
      <c r="F319" s="684" t="str">
        <f>IF(op!F252="","",op!F252+1)</f>
        <v/>
      </c>
      <c r="G319" s="710" t="str">
        <f>IF(op!G252="","",op!G252)</f>
        <v/>
      </c>
      <c r="H319" s="684" t="str">
        <f>IF(op!H252=0,"",op!H252)</f>
        <v/>
      </c>
      <c r="I319" s="389" t="str">
        <f>IF(J319="","",(IF(op!I252+1&gt;LOOKUP(H319,schaal2019,regels2019),op!I252,op!I252+1)))</f>
        <v/>
      </c>
      <c r="J319" s="711" t="str">
        <f>IF(op!J252="","",op!J252)</f>
        <v/>
      </c>
      <c r="K319" s="472"/>
      <c r="L319" s="1049">
        <f>IF(op!L252="","",op!L252)</f>
        <v>0</v>
      </c>
      <c r="M319" s="1049">
        <f>IF(op!M252="","",op!M252)</f>
        <v>0</v>
      </c>
      <c r="N319" s="1051" t="str">
        <f t="shared" si="118"/>
        <v/>
      </c>
      <c r="O319" s="1051" t="str">
        <f t="shared" si="119"/>
        <v/>
      </c>
      <c r="P319" s="1125" t="str">
        <f t="shared" si="120"/>
        <v/>
      </c>
      <c r="Q319" s="472"/>
      <c r="R319" s="923" t="str">
        <f t="shared" si="135"/>
        <v/>
      </c>
      <c r="S319" s="923" t="str">
        <f t="shared" si="121"/>
        <v/>
      </c>
      <c r="T319" s="925" t="str">
        <f t="shared" si="122"/>
        <v/>
      </c>
      <c r="U319" s="545"/>
      <c r="V319" s="1103"/>
      <c r="W319" s="1103"/>
      <c r="X319" s="1060"/>
      <c r="Y319" s="1095" t="e">
        <f t="shared" si="136"/>
        <v>#VALUE!</v>
      </c>
      <c r="Z319" s="1094">
        <f>tab!$B$50</f>
        <v>0.6</v>
      </c>
      <c r="AA319" s="1126" t="e">
        <f t="shared" si="124"/>
        <v>#VALUE!</v>
      </c>
      <c r="AB319" s="1126" t="e">
        <f t="shared" si="125"/>
        <v>#VALUE!</v>
      </c>
      <c r="AC319" s="1126" t="e">
        <f t="shared" si="126"/>
        <v>#VALUE!</v>
      </c>
      <c r="AD319" s="1128" t="e">
        <f t="shared" si="127"/>
        <v>#VALUE!</v>
      </c>
      <c r="AE319" s="1128">
        <f t="shared" si="128"/>
        <v>0</v>
      </c>
      <c r="AF319" s="1096">
        <f>IF(H319&gt;8,tab!$B$51,tab!$B$54)</f>
        <v>0.5</v>
      </c>
      <c r="AG319" s="1097">
        <f t="shared" si="137"/>
        <v>0</v>
      </c>
      <c r="AH319" s="1093">
        <f t="shared" si="138"/>
        <v>0</v>
      </c>
      <c r="AI319" s="1120" t="e">
        <f>DATE(YEAR(tab!$G$3),MONTH(G319),DAY(G319))&gt;tab!$G$3</f>
        <v>#VALUE!</v>
      </c>
      <c r="AJ319" s="1120" t="e">
        <f t="shared" si="139"/>
        <v>#VALUE!</v>
      </c>
      <c r="AK319" s="1041">
        <f t="shared" si="140"/>
        <v>30</v>
      </c>
      <c r="AL319" s="1041">
        <f t="shared" si="141"/>
        <v>30</v>
      </c>
      <c r="AM319" s="1047">
        <f t="shared" si="142"/>
        <v>0</v>
      </c>
      <c r="AS319" s="727"/>
    </row>
    <row r="320" spans="3:45" ht="12.75" customHeight="1" x14ac:dyDescent="0.3">
      <c r="C320" s="122"/>
      <c r="D320" s="388" t="str">
        <f>IF(op!D253=0,"",op!D253)</f>
        <v/>
      </c>
      <c r="E320" s="388" t="str">
        <f>IF(op!E253=0,"-",op!E253)</f>
        <v/>
      </c>
      <c r="F320" s="684" t="str">
        <f>IF(op!F253="","",op!F253+1)</f>
        <v/>
      </c>
      <c r="G320" s="710" t="str">
        <f>IF(op!G253="","",op!G253)</f>
        <v/>
      </c>
      <c r="H320" s="684" t="str">
        <f>IF(op!H253=0,"",op!H253)</f>
        <v/>
      </c>
      <c r="I320" s="389" t="str">
        <f>IF(J320="","",(IF(op!I253+1&gt;LOOKUP(H320,schaal2019,regels2019),op!I253,op!I253+1)))</f>
        <v/>
      </c>
      <c r="J320" s="711" t="str">
        <f>IF(op!J253="","",op!J253)</f>
        <v/>
      </c>
      <c r="K320" s="472"/>
      <c r="L320" s="1049">
        <f>IF(op!L253="","",op!L253)</f>
        <v>0</v>
      </c>
      <c r="M320" s="1049">
        <f>IF(op!M253="","",op!M253)</f>
        <v>0</v>
      </c>
      <c r="N320" s="1051" t="str">
        <f t="shared" si="118"/>
        <v/>
      </c>
      <c r="O320" s="1051" t="str">
        <f t="shared" si="119"/>
        <v/>
      </c>
      <c r="P320" s="1125" t="str">
        <f t="shared" si="120"/>
        <v/>
      </c>
      <c r="Q320" s="472"/>
      <c r="R320" s="923" t="str">
        <f t="shared" si="135"/>
        <v/>
      </c>
      <c r="S320" s="923" t="str">
        <f t="shared" si="121"/>
        <v/>
      </c>
      <c r="T320" s="925" t="str">
        <f t="shared" si="122"/>
        <v/>
      </c>
      <c r="U320" s="545"/>
      <c r="V320" s="1103"/>
      <c r="W320" s="1103"/>
      <c r="X320" s="1060"/>
      <c r="Y320" s="1095" t="e">
        <f t="shared" si="136"/>
        <v>#VALUE!</v>
      </c>
      <c r="Z320" s="1094">
        <f>tab!$B$50</f>
        <v>0.6</v>
      </c>
      <c r="AA320" s="1126" t="e">
        <f t="shared" si="124"/>
        <v>#VALUE!</v>
      </c>
      <c r="AB320" s="1126" t="e">
        <f t="shared" si="125"/>
        <v>#VALUE!</v>
      </c>
      <c r="AC320" s="1126" t="e">
        <f t="shared" si="126"/>
        <v>#VALUE!</v>
      </c>
      <c r="AD320" s="1128" t="e">
        <f t="shared" si="127"/>
        <v>#VALUE!</v>
      </c>
      <c r="AE320" s="1128">
        <f t="shared" si="128"/>
        <v>0</v>
      </c>
      <c r="AF320" s="1096">
        <f>IF(H320&gt;8,tab!$B$51,tab!$B$54)</f>
        <v>0.5</v>
      </c>
      <c r="AG320" s="1097">
        <f t="shared" si="137"/>
        <v>0</v>
      </c>
      <c r="AH320" s="1093">
        <f t="shared" si="138"/>
        <v>0</v>
      </c>
      <c r="AI320" s="1120" t="e">
        <f>DATE(YEAR(tab!$G$3),MONTH(G320),DAY(G320))&gt;tab!$G$3</f>
        <v>#VALUE!</v>
      </c>
      <c r="AJ320" s="1120" t="e">
        <f t="shared" si="139"/>
        <v>#VALUE!</v>
      </c>
      <c r="AK320" s="1041">
        <f t="shared" si="140"/>
        <v>30</v>
      </c>
      <c r="AL320" s="1041">
        <f t="shared" si="141"/>
        <v>30</v>
      </c>
      <c r="AM320" s="1047">
        <f t="shared" si="142"/>
        <v>0</v>
      </c>
      <c r="AS320" s="727"/>
    </row>
    <row r="321" spans="3:45" ht="12.75" customHeight="1" x14ac:dyDescent="0.3">
      <c r="C321" s="122"/>
      <c r="D321" s="388" t="str">
        <f>IF(op!D254=0,"",op!D254)</f>
        <v/>
      </c>
      <c r="E321" s="388" t="str">
        <f>IF(op!E254=0,"-",op!E254)</f>
        <v/>
      </c>
      <c r="F321" s="684" t="str">
        <f>IF(op!F254="","",op!F254+1)</f>
        <v/>
      </c>
      <c r="G321" s="710" t="str">
        <f>IF(op!G254="","",op!G254)</f>
        <v/>
      </c>
      <c r="H321" s="684" t="str">
        <f>IF(op!H254=0,"",op!H254)</f>
        <v/>
      </c>
      <c r="I321" s="389" t="str">
        <f>IF(J321="","",(IF(op!I254+1&gt;LOOKUP(H321,schaal2019,regels2019),op!I254,op!I254+1)))</f>
        <v/>
      </c>
      <c r="J321" s="711" t="str">
        <f>IF(op!J254="","",op!J254)</f>
        <v/>
      </c>
      <c r="K321" s="472"/>
      <c r="L321" s="1049">
        <f>IF(op!L254="","",op!L254)</f>
        <v>0</v>
      </c>
      <c r="M321" s="1049">
        <f>IF(op!M254="","",op!M254)</f>
        <v>0</v>
      </c>
      <c r="N321" s="1051" t="str">
        <f t="shared" si="118"/>
        <v/>
      </c>
      <c r="O321" s="1051" t="str">
        <f t="shared" si="119"/>
        <v/>
      </c>
      <c r="P321" s="1125" t="str">
        <f t="shared" si="120"/>
        <v/>
      </c>
      <c r="Q321" s="472"/>
      <c r="R321" s="923" t="str">
        <f t="shared" si="135"/>
        <v/>
      </c>
      <c r="S321" s="923" t="str">
        <f t="shared" si="121"/>
        <v/>
      </c>
      <c r="T321" s="925" t="str">
        <f t="shared" si="122"/>
        <v/>
      </c>
      <c r="U321" s="545"/>
      <c r="V321" s="1103"/>
      <c r="W321" s="1103"/>
      <c r="X321" s="1060"/>
      <c r="Y321" s="1095" t="e">
        <f t="shared" si="136"/>
        <v>#VALUE!</v>
      </c>
      <c r="Z321" s="1094">
        <f>tab!$B$50</f>
        <v>0.6</v>
      </c>
      <c r="AA321" s="1126" t="e">
        <f t="shared" si="124"/>
        <v>#VALUE!</v>
      </c>
      <c r="AB321" s="1126" t="e">
        <f t="shared" si="125"/>
        <v>#VALUE!</v>
      </c>
      <c r="AC321" s="1126" t="e">
        <f t="shared" si="126"/>
        <v>#VALUE!</v>
      </c>
      <c r="AD321" s="1128" t="e">
        <f t="shared" si="127"/>
        <v>#VALUE!</v>
      </c>
      <c r="AE321" s="1128">
        <f t="shared" si="128"/>
        <v>0</v>
      </c>
      <c r="AF321" s="1096">
        <f>IF(H321&gt;8,tab!$B$51,tab!$B$54)</f>
        <v>0.5</v>
      </c>
      <c r="AG321" s="1097">
        <f t="shared" si="137"/>
        <v>0</v>
      </c>
      <c r="AH321" s="1093">
        <f t="shared" si="138"/>
        <v>0</v>
      </c>
      <c r="AI321" s="1120" t="e">
        <f>DATE(YEAR(tab!$G$3),MONTH(G321),DAY(G321))&gt;tab!$G$3</f>
        <v>#VALUE!</v>
      </c>
      <c r="AJ321" s="1120" t="e">
        <f t="shared" si="139"/>
        <v>#VALUE!</v>
      </c>
      <c r="AK321" s="1041">
        <f t="shared" si="140"/>
        <v>30</v>
      </c>
      <c r="AL321" s="1041">
        <f t="shared" si="141"/>
        <v>30</v>
      </c>
      <c r="AM321" s="1047">
        <f t="shared" si="142"/>
        <v>0</v>
      </c>
      <c r="AS321" s="727"/>
    </row>
    <row r="322" spans="3:45" ht="12.75" customHeight="1" x14ac:dyDescent="0.3">
      <c r="C322" s="122"/>
      <c r="D322" s="388" t="str">
        <f>IF(op!D255=0,"",op!D255)</f>
        <v/>
      </c>
      <c r="E322" s="388" t="str">
        <f>IF(op!E255=0,"-",op!E255)</f>
        <v/>
      </c>
      <c r="F322" s="684" t="str">
        <f>IF(op!F255="","",op!F255+1)</f>
        <v/>
      </c>
      <c r="G322" s="710" t="str">
        <f>IF(op!G255="","",op!G255)</f>
        <v/>
      </c>
      <c r="H322" s="684" t="str">
        <f>IF(op!H255=0,"",op!H255)</f>
        <v/>
      </c>
      <c r="I322" s="389" t="str">
        <f>IF(J322="","",(IF(op!I255+1&gt;LOOKUP(H322,schaal2019,regels2019),op!I255,op!I255+1)))</f>
        <v/>
      </c>
      <c r="J322" s="711" t="str">
        <f>IF(op!J255="","",op!J255)</f>
        <v/>
      </c>
      <c r="K322" s="472"/>
      <c r="L322" s="1049">
        <f>IF(op!L255="","",op!L255)</f>
        <v>0</v>
      </c>
      <c r="M322" s="1049">
        <f>IF(op!M255="","",op!M255)</f>
        <v>0</v>
      </c>
      <c r="N322" s="1051" t="str">
        <f t="shared" si="118"/>
        <v/>
      </c>
      <c r="O322" s="1051" t="str">
        <f t="shared" si="119"/>
        <v/>
      </c>
      <c r="P322" s="1125" t="str">
        <f t="shared" si="120"/>
        <v/>
      </c>
      <c r="Q322" s="472"/>
      <c r="R322" s="923" t="str">
        <f t="shared" si="135"/>
        <v/>
      </c>
      <c r="S322" s="923" t="str">
        <f t="shared" si="121"/>
        <v/>
      </c>
      <c r="T322" s="925" t="str">
        <f t="shared" si="122"/>
        <v/>
      </c>
      <c r="U322" s="545"/>
      <c r="V322" s="1103"/>
      <c r="W322" s="1103"/>
      <c r="X322" s="1060"/>
      <c r="Y322" s="1095" t="e">
        <f t="shared" si="136"/>
        <v>#VALUE!</v>
      </c>
      <c r="Z322" s="1094">
        <f>tab!$B$50</f>
        <v>0.6</v>
      </c>
      <c r="AA322" s="1126" t="e">
        <f t="shared" si="124"/>
        <v>#VALUE!</v>
      </c>
      <c r="AB322" s="1126" t="e">
        <f t="shared" si="125"/>
        <v>#VALUE!</v>
      </c>
      <c r="AC322" s="1126" t="e">
        <f t="shared" si="126"/>
        <v>#VALUE!</v>
      </c>
      <c r="AD322" s="1128" t="e">
        <f t="shared" si="127"/>
        <v>#VALUE!</v>
      </c>
      <c r="AE322" s="1128">
        <f t="shared" si="128"/>
        <v>0</v>
      </c>
      <c r="AF322" s="1096">
        <f>IF(H322&gt;8,tab!$B$51,tab!$B$54)</f>
        <v>0.5</v>
      </c>
      <c r="AG322" s="1097">
        <f t="shared" si="137"/>
        <v>0</v>
      </c>
      <c r="AH322" s="1093">
        <f t="shared" si="138"/>
        <v>0</v>
      </c>
      <c r="AI322" s="1120" t="e">
        <f>DATE(YEAR(tab!$G$3),MONTH(G322),DAY(G322))&gt;tab!$G$3</f>
        <v>#VALUE!</v>
      </c>
      <c r="AJ322" s="1120" t="e">
        <f t="shared" si="139"/>
        <v>#VALUE!</v>
      </c>
      <c r="AK322" s="1041">
        <f t="shared" si="140"/>
        <v>30</v>
      </c>
      <c r="AL322" s="1041">
        <f t="shared" si="141"/>
        <v>30</v>
      </c>
      <c r="AM322" s="1047">
        <f t="shared" si="142"/>
        <v>0</v>
      </c>
      <c r="AS322" s="727"/>
    </row>
    <row r="323" spans="3:45" ht="12.75" customHeight="1" x14ac:dyDescent="0.3">
      <c r="C323" s="122"/>
      <c r="D323" s="388" t="str">
        <f>IF(op!D256=0,"",op!D256)</f>
        <v/>
      </c>
      <c r="E323" s="388" t="str">
        <f>IF(op!E256=0,"-",op!E256)</f>
        <v/>
      </c>
      <c r="F323" s="684" t="str">
        <f>IF(op!F256="","",op!F256+1)</f>
        <v/>
      </c>
      <c r="G323" s="710" t="str">
        <f>IF(op!G256="","",op!G256)</f>
        <v/>
      </c>
      <c r="H323" s="684" t="str">
        <f>IF(op!H256=0,"",op!H256)</f>
        <v/>
      </c>
      <c r="I323" s="389" t="str">
        <f>IF(J323="","",(IF(op!I256+1&gt;LOOKUP(H323,schaal2019,regels2019),op!I256,op!I256+1)))</f>
        <v/>
      </c>
      <c r="J323" s="711" t="str">
        <f>IF(op!J256="","",op!J256)</f>
        <v/>
      </c>
      <c r="K323" s="472"/>
      <c r="L323" s="1049">
        <f>IF(op!L256="","",op!L256)</f>
        <v>0</v>
      </c>
      <c r="M323" s="1049">
        <f>IF(op!M256="","",op!M256)</f>
        <v>0</v>
      </c>
      <c r="N323" s="1051" t="str">
        <f t="shared" si="118"/>
        <v/>
      </c>
      <c r="O323" s="1051" t="str">
        <f t="shared" si="119"/>
        <v/>
      </c>
      <c r="P323" s="1125" t="str">
        <f t="shared" si="120"/>
        <v/>
      </c>
      <c r="Q323" s="472"/>
      <c r="R323" s="923" t="str">
        <f t="shared" si="135"/>
        <v/>
      </c>
      <c r="S323" s="923" t="str">
        <f t="shared" si="121"/>
        <v/>
      </c>
      <c r="T323" s="925" t="str">
        <f t="shared" si="122"/>
        <v/>
      </c>
      <c r="U323" s="545"/>
      <c r="V323" s="1103"/>
      <c r="W323" s="1103"/>
      <c r="X323" s="1060"/>
      <c r="Y323" s="1095" t="e">
        <f t="shared" si="136"/>
        <v>#VALUE!</v>
      </c>
      <c r="Z323" s="1094">
        <f>tab!$B$50</f>
        <v>0.6</v>
      </c>
      <c r="AA323" s="1126" t="e">
        <f t="shared" si="124"/>
        <v>#VALUE!</v>
      </c>
      <c r="AB323" s="1126" t="e">
        <f t="shared" si="125"/>
        <v>#VALUE!</v>
      </c>
      <c r="AC323" s="1126" t="e">
        <f t="shared" si="126"/>
        <v>#VALUE!</v>
      </c>
      <c r="AD323" s="1128" t="e">
        <f t="shared" si="127"/>
        <v>#VALUE!</v>
      </c>
      <c r="AE323" s="1128">
        <f t="shared" si="128"/>
        <v>0</v>
      </c>
      <c r="AF323" s="1096">
        <f>IF(H323&gt;8,tab!$B$51,tab!$B$54)</f>
        <v>0.5</v>
      </c>
      <c r="AG323" s="1097">
        <f t="shared" si="137"/>
        <v>0</v>
      </c>
      <c r="AH323" s="1093">
        <f t="shared" si="138"/>
        <v>0</v>
      </c>
      <c r="AI323" s="1120" t="e">
        <f>DATE(YEAR(tab!$G$3),MONTH(G323),DAY(G323))&gt;tab!$G$3</f>
        <v>#VALUE!</v>
      </c>
      <c r="AJ323" s="1120" t="e">
        <f t="shared" si="139"/>
        <v>#VALUE!</v>
      </c>
      <c r="AK323" s="1041">
        <f t="shared" si="140"/>
        <v>30</v>
      </c>
      <c r="AL323" s="1041">
        <f t="shared" si="141"/>
        <v>30</v>
      </c>
      <c r="AM323" s="1047">
        <f t="shared" si="142"/>
        <v>0</v>
      </c>
      <c r="AS323" s="727"/>
    </row>
    <row r="324" spans="3:45" ht="12.75" customHeight="1" x14ac:dyDescent="0.3">
      <c r="C324" s="122"/>
      <c r="D324" s="388" t="str">
        <f>IF(op!D257=0,"",op!D257)</f>
        <v/>
      </c>
      <c r="E324" s="388" t="str">
        <f>IF(op!E257=0,"-",op!E257)</f>
        <v/>
      </c>
      <c r="F324" s="684" t="str">
        <f>IF(op!F257="","",op!F257+1)</f>
        <v/>
      </c>
      <c r="G324" s="710" t="str">
        <f>IF(op!G257="","",op!G257)</f>
        <v/>
      </c>
      <c r="H324" s="684" t="str">
        <f>IF(op!H257=0,"",op!H257)</f>
        <v/>
      </c>
      <c r="I324" s="389" t="str">
        <f>IF(J324="","",(IF(op!I257+1&gt;LOOKUP(H324,schaal2019,regels2019),op!I257,op!I257+1)))</f>
        <v/>
      </c>
      <c r="J324" s="711" t="str">
        <f>IF(op!J257="","",op!J257)</f>
        <v/>
      </c>
      <c r="K324" s="472"/>
      <c r="L324" s="1049">
        <f>IF(op!L257="","",op!L257)</f>
        <v>0</v>
      </c>
      <c r="M324" s="1049">
        <f>IF(op!M257="","",op!M257)</f>
        <v>0</v>
      </c>
      <c r="N324" s="1051" t="str">
        <f t="shared" si="118"/>
        <v/>
      </c>
      <c r="O324" s="1051" t="str">
        <f t="shared" si="119"/>
        <v/>
      </c>
      <c r="P324" s="1125" t="str">
        <f t="shared" si="120"/>
        <v/>
      </c>
      <c r="Q324" s="472"/>
      <c r="R324" s="923" t="str">
        <f t="shared" si="135"/>
        <v/>
      </c>
      <c r="S324" s="923" t="str">
        <f t="shared" si="121"/>
        <v/>
      </c>
      <c r="T324" s="925" t="str">
        <f t="shared" si="122"/>
        <v/>
      </c>
      <c r="U324" s="545"/>
      <c r="V324" s="1103"/>
      <c r="W324" s="1103"/>
      <c r="X324" s="1060"/>
      <c r="Y324" s="1095" t="e">
        <f t="shared" si="136"/>
        <v>#VALUE!</v>
      </c>
      <c r="Z324" s="1094">
        <f>tab!$B$50</f>
        <v>0.6</v>
      </c>
      <c r="AA324" s="1126" t="e">
        <f t="shared" si="124"/>
        <v>#VALUE!</v>
      </c>
      <c r="AB324" s="1126" t="e">
        <f t="shared" si="125"/>
        <v>#VALUE!</v>
      </c>
      <c r="AC324" s="1126" t="e">
        <f t="shared" si="126"/>
        <v>#VALUE!</v>
      </c>
      <c r="AD324" s="1128" t="e">
        <f t="shared" si="127"/>
        <v>#VALUE!</v>
      </c>
      <c r="AE324" s="1128">
        <f t="shared" si="128"/>
        <v>0</v>
      </c>
      <c r="AF324" s="1096">
        <f>IF(H324&gt;8,tab!$B$51,tab!$B$54)</f>
        <v>0.5</v>
      </c>
      <c r="AG324" s="1097">
        <f t="shared" si="137"/>
        <v>0</v>
      </c>
      <c r="AH324" s="1093">
        <f t="shared" si="138"/>
        <v>0</v>
      </c>
      <c r="AI324" s="1120" t="e">
        <f>DATE(YEAR(tab!$G$3),MONTH(G324),DAY(G324))&gt;tab!$G$3</f>
        <v>#VALUE!</v>
      </c>
      <c r="AJ324" s="1120" t="e">
        <f t="shared" si="139"/>
        <v>#VALUE!</v>
      </c>
      <c r="AK324" s="1041">
        <f t="shared" si="140"/>
        <v>30</v>
      </c>
      <c r="AL324" s="1041">
        <f t="shared" si="141"/>
        <v>30</v>
      </c>
      <c r="AM324" s="1047">
        <f t="shared" si="142"/>
        <v>0</v>
      </c>
      <c r="AS324" s="727"/>
    </row>
    <row r="325" spans="3:45" ht="12.75" customHeight="1" x14ac:dyDescent="0.3">
      <c r="C325" s="122"/>
      <c r="D325" s="388" t="str">
        <f>IF(op!D258=0,"",op!D258)</f>
        <v/>
      </c>
      <c r="E325" s="388" t="str">
        <f>IF(op!E258=0,"-",op!E258)</f>
        <v/>
      </c>
      <c r="F325" s="684" t="str">
        <f>IF(op!F258="","",op!F258+1)</f>
        <v/>
      </c>
      <c r="G325" s="710" t="str">
        <f>IF(op!G258="","",op!G258)</f>
        <v/>
      </c>
      <c r="H325" s="684" t="str">
        <f>IF(op!H258=0,"",op!H258)</f>
        <v/>
      </c>
      <c r="I325" s="389" t="str">
        <f>IF(J325="","",(IF(op!I258+1&gt;LOOKUP(H325,schaal2019,regels2019),op!I258,op!I258+1)))</f>
        <v/>
      </c>
      <c r="J325" s="711" t="str">
        <f>IF(op!J258="","",op!J258)</f>
        <v/>
      </c>
      <c r="K325" s="472"/>
      <c r="L325" s="1049">
        <f>IF(op!L258="","",op!L258)</f>
        <v>0</v>
      </c>
      <c r="M325" s="1049">
        <f>IF(op!M258="","",op!M258)</f>
        <v>0</v>
      </c>
      <c r="N325" s="1051" t="str">
        <f t="shared" si="118"/>
        <v/>
      </c>
      <c r="O325" s="1051" t="str">
        <f t="shared" si="119"/>
        <v/>
      </c>
      <c r="P325" s="1125" t="str">
        <f t="shared" si="120"/>
        <v/>
      </c>
      <c r="Q325" s="472"/>
      <c r="R325" s="923" t="str">
        <f t="shared" si="135"/>
        <v/>
      </c>
      <c r="S325" s="923" t="str">
        <f t="shared" si="121"/>
        <v/>
      </c>
      <c r="T325" s="925" t="str">
        <f t="shared" si="122"/>
        <v/>
      </c>
      <c r="U325" s="545"/>
      <c r="V325" s="1103"/>
      <c r="W325" s="1103"/>
      <c r="X325" s="1060"/>
      <c r="Y325" s="1095" t="e">
        <f t="shared" si="136"/>
        <v>#VALUE!</v>
      </c>
      <c r="Z325" s="1094">
        <f>tab!$B$50</f>
        <v>0.6</v>
      </c>
      <c r="AA325" s="1126" t="e">
        <f t="shared" si="124"/>
        <v>#VALUE!</v>
      </c>
      <c r="AB325" s="1126" t="e">
        <f t="shared" si="125"/>
        <v>#VALUE!</v>
      </c>
      <c r="AC325" s="1126" t="e">
        <f t="shared" si="126"/>
        <v>#VALUE!</v>
      </c>
      <c r="AD325" s="1128" t="e">
        <f t="shared" si="127"/>
        <v>#VALUE!</v>
      </c>
      <c r="AE325" s="1128">
        <f t="shared" si="128"/>
        <v>0</v>
      </c>
      <c r="AF325" s="1096">
        <f>IF(H325&gt;8,tab!$B$51,tab!$B$54)</f>
        <v>0.5</v>
      </c>
      <c r="AG325" s="1097">
        <f t="shared" si="137"/>
        <v>0</v>
      </c>
      <c r="AH325" s="1093">
        <f t="shared" si="138"/>
        <v>0</v>
      </c>
      <c r="AI325" s="1120" t="e">
        <f>DATE(YEAR(tab!$G$3),MONTH(G325),DAY(G325))&gt;tab!$G$3</f>
        <v>#VALUE!</v>
      </c>
      <c r="AJ325" s="1120" t="e">
        <f t="shared" si="139"/>
        <v>#VALUE!</v>
      </c>
      <c r="AK325" s="1041">
        <f t="shared" si="140"/>
        <v>30</v>
      </c>
      <c r="AL325" s="1041">
        <f t="shared" si="141"/>
        <v>30</v>
      </c>
      <c r="AM325" s="1047">
        <f t="shared" si="142"/>
        <v>0</v>
      </c>
      <c r="AS325" s="727"/>
    </row>
    <row r="326" spans="3:45" ht="12.75" customHeight="1" x14ac:dyDescent="0.3">
      <c r="C326" s="122"/>
      <c r="D326" s="388" t="str">
        <f>IF(op!D259=0,"",op!D259)</f>
        <v/>
      </c>
      <c r="E326" s="388" t="str">
        <f>IF(op!E259=0,"-",op!E259)</f>
        <v/>
      </c>
      <c r="F326" s="684" t="str">
        <f>IF(op!F259="","",op!F259+1)</f>
        <v/>
      </c>
      <c r="G326" s="710" t="str">
        <f>IF(op!G259="","",op!G259)</f>
        <v/>
      </c>
      <c r="H326" s="684" t="str">
        <f>IF(op!H259=0,"",op!H259)</f>
        <v/>
      </c>
      <c r="I326" s="389" t="str">
        <f>IF(J326="","",(IF(op!I259+1&gt;LOOKUP(H326,schaal2019,regels2019),op!I259,op!I259+1)))</f>
        <v/>
      </c>
      <c r="J326" s="711" t="str">
        <f>IF(op!J259="","",op!J259)</f>
        <v/>
      </c>
      <c r="K326" s="472"/>
      <c r="L326" s="1049">
        <f>IF(op!L259="","",op!L259)</f>
        <v>0</v>
      </c>
      <c r="M326" s="1049">
        <f>IF(op!M259="","",op!M259)</f>
        <v>0</v>
      </c>
      <c r="N326" s="1051" t="str">
        <f t="shared" si="118"/>
        <v/>
      </c>
      <c r="O326" s="1051" t="str">
        <f t="shared" si="119"/>
        <v/>
      </c>
      <c r="P326" s="1125" t="str">
        <f t="shared" si="120"/>
        <v/>
      </c>
      <c r="Q326" s="472"/>
      <c r="R326" s="923" t="str">
        <f t="shared" si="135"/>
        <v/>
      </c>
      <c r="S326" s="923" t="str">
        <f t="shared" si="121"/>
        <v/>
      </c>
      <c r="T326" s="925" t="str">
        <f t="shared" si="122"/>
        <v/>
      </c>
      <c r="U326" s="545"/>
      <c r="V326" s="1103"/>
      <c r="W326" s="1103"/>
      <c r="X326" s="1060"/>
      <c r="Y326" s="1095" t="e">
        <f t="shared" si="136"/>
        <v>#VALUE!</v>
      </c>
      <c r="Z326" s="1094">
        <f>tab!$B$50</f>
        <v>0.6</v>
      </c>
      <c r="AA326" s="1126" t="e">
        <f t="shared" si="124"/>
        <v>#VALUE!</v>
      </c>
      <c r="AB326" s="1126" t="e">
        <f t="shared" si="125"/>
        <v>#VALUE!</v>
      </c>
      <c r="AC326" s="1126" t="e">
        <f t="shared" si="126"/>
        <v>#VALUE!</v>
      </c>
      <c r="AD326" s="1128" t="e">
        <f t="shared" si="127"/>
        <v>#VALUE!</v>
      </c>
      <c r="AE326" s="1128">
        <f t="shared" si="128"/>
        <v>0</v>
      </c>
      <c r="AF326" s="1096">
        <f>IF(H326&gt;8,tab!$B$51,tab!$B$54)</f>
        <v>0.5</v>
      </c>
      <c r="AG326" s="1097">
        <f t="shared" si="137"/>
        <v>0</v>
      </c>
      <c r="AH326" s="1093">
        <f t="shared" si="138"/>
        <v>0</v>
      </c>
      <c r="AI326" s="1120" t="e">
        <f>DATE(YEAR(tab!$G$3),MONTH(G326),DAY(G326))&gt;tab!$G$3</f>
        <v>#VALUE!</v>
      </c>
      <c r="AJ326" s="1120" t="e">
        <f t="shared" si="139"/>
        <v>#VALUE!</v>
      </c>
      <c r="AK326" s="1041">
        <f t="shared" si="140"/>
        <v>30</v>
      </c>
      <c r="AL326" s="1041">
        <f t="shared" si="141"/>
        <v>30</v>
      </c>
      <c r="AM326" s="1047">
        <f t="shared" si="142"/>
        <v>0</v>
      </c>
      <c r="AS326" s="727"/>
    </row>
    <row r="327" spans="3:45" ht="12.75" customHeight="1" x14ac:dyDescent="0.3">
      <c r="C327" s="122"/>
      <c r="D327" s="388" t="str">
        <f>IF(op!D260=0,"",op!D260)</f>
        <v/>
      </c>
      <c r="E327" s="388" t="str">
        <f>IF(op!E260=0,"-",op!E260)</f>
        <v/>
      </c>
      <c r="F327" s="684" t="str">
        <f>IF(op!F260="","",op!F260+1)</f>
        <v/>
      </c>
      <c r="G327" s="710" t="str">
        <f>IF(op!G260="","",op!G260)</f>
        <v/>
      </c>
      <c r="H327" s="684" t="str">
        <f>IF(op!H260=0,"",op!H260)</f>
        <v/>
      </c>
      <c r="I327" s="389" t="str">
        <f>IF(J327="","",(IF(op!I260+1&gt;LOOKUP(H327,schaal2019,regels2019),op!I260,op!I260+1)))</f>
        <v/>
      </c>
      <c r="J327" s="711" t="str">
        <f>IF(op!J260="","",op!J260)</f>
        <v/>
      </c>
      <c r="K327" s="472"/>
      <c r="L327" s="1049">
        <f>IF(op!L260="","",op!L260)</f>
        <v>0</v>
      </c>
      <c r="M327" s="1049">
        <f>IF(op!M260="","",op!M260)</f>
        <v>0</v>
      </c>
      <c r="N327" s="1051" t="str">
        <f t="shared" si="118"/>
        <v/>
      </c>
      <c r="O327" s="1051" t="str">
        <f t="shared" si="119"/>
        <v/>
      </c>
      <c r="P327" s="1125" t="str">
        <f t="shared" si="120"/>
        <v/>
      </c>
      <c r="Q327" s="472"/>
      <c r="R327" s="923" t="str">
        <f t="shared" si="135"/>
        <v/>
      </c>
      <c r="S327" s="923" t="str">
        <f t="shared" si="121"/>
        <v/>
      </c>
      <c r="T327" s="925" t="str">
        <f t="shared" si="122"/>
        <v/>
      </c>
      <c r="U327" s="545"/>
      <c r="V327" s="1103"/>
      <c r="W327" s="1103"/>
      <c r="X327" s="1060"/>
      <c r="Y327" s="1095" t="e">
        <f t="shared" si="136"/>
        <v>#VALUE!</v>
      </c>
      <c r="Z327" s="1094">
        <f>tab!$B$50</f>
        <v>0.6</v>
      </c>
      <c r="AA327" s="1126" t="e">
        <f t="shared" si="124"/>
        <v>#VALUE!</v>
      </c>
      <c r="AB327" s="1126" t="e">
        <f t="shared" si="125"/>
        <v>#VALUE!</v>
      </c>
      <c r="AC327" s="1126" t="e">
        <f t="shared" si="126"/>
        <v>#VALUE!</v>
      </c>
      <c r="AD327" s="1128" t="e">
        <f t="shared" si="127"/>
        <v>#VALUE!</v>
      </c>
      <c r="AE327" s="1128">
        <f t="shared" si="128"/>
        <v>0</v>
      </c>
      <c r="AF327" s="1096">
        <f>IF(H327&gt;8,tab!$B$51,tab!$B$54)</f>
        <v>0.5</v>
      </c>
      <c r="AG327" s="1097">
        <f t="shared" si="137"/>
        <v>0</v>
      </c>
      <c r="AH327" s="1093">
        <f t="shared" si="138"/>
        <v>0</v>
      </c>
      <c r="AI327" s="1120" t="e">
        <f>DATE(YEAR(tab!$G$3),MONTH(G327),DAY(G327))&gt;tab!$G$3</f>
        <v>#VALUE!</v>
      </c>
      <c r="AJ327" s="1120" t="e">
        <f t="shared" si="139"/>
        <v>#VALUE!</v>
      </c>
      <c r="AK327" s="1041">
        <f t="shared" si="140"/>
        <v>30</v>
      </c>
      <c r="AL327" s="1041">
        <f t="shared" si="141"/>
        <v>30</v>
      </c>
      <c r="AM327" s="1047">
        <f t="shared" si="142"/>
        <v>0</v>
      </c>
      <c r="AS327" s="727"/>
    </row>
    <row r="328" spans="3:45" ht="12.75" customHeight="1" x14ac:dyDescent="0.3">
      <c r="C328" s="122"/>
      <c r="D328" s="388" t="str">
        <f>IF(op!D261=0,"",op!D261)</f>
        <v/>
      </c>
      <c r="E328" s="388" t="str">
        <f>IF(op!E261=0,"-",op!E261)</f>
        <v/>
      </c>
      <c r="F328" s="684" t="str">
        <f>IF(op!F261="","",op!F261+1)</f>
        <v/>
      </c>
      <c r="G328" s="710" t="str">
        <f>IF(op!G261="","",op!G261)</f>
        <v/>
      </c>
      <c r="H328" s="684" t="str">
        <f>IF(op!H261=0,"",op!H261)</f>
        <v/>
      </c>
      <c r="I328" s="389" t="str">
        <f>IF(J328="","",(IF(op!I261+1&gt;LOOKUP(H328,schaal2019,regels2019),op!I261,op!I261+1)))</f>
        <v/>
      </c>
      <c r="J328" s="711" t="str">
        <f>IF(op!J261="","",op!J261)</f>
        <v/>
      </c>
      <c r="K328" s="472"/>
      <c r="L328" s="1049">
        <f>IF(op!L261="","",op!L261)</f>
        <v>0</v>
      </c>
      <c r="M328" s="1049">
        <f>IF(op!M261="","",op!M261)</f>
        <v>0</v>
      </c>
      <c r="N328" s="1051" t="str">
        <f t="shared" si="118"/>
        <v/>
      </c>
      <c r="O328" s="1051" t="str">
        <f t="shared" si="119"/>
        <v/>
      </c>
      <c r="P328" s="1125" t="str">
        <f t="shared" si="120"/>
        <v/>
      </c>
      <c r="Q328" s="472"/>
      <c r="R328" s="923" t="str">
        <f t="shared" si="135"/>
        <v/>
      </c>
      <c r="S328" s="923" t="str">
        <f t="shared" si="121"/>
        <v/>
      </c>
      <c r="T328" s="925" t="str">
        <f t="shared" si="122"/>
        <v/>
      </c>
      <c r="U328" s="545"/>
      <c r="V328" s="1103"/>
      <c r="W328" s="1103"/>
      <c r="X328" s="1060"/>
      <c r="Y328" s="1095" t="e">
        <f t="shared" si="136"/>
        <v>#VALUE!</v>
      </c>
      <c r="Z328" s="1094">
        <f>tab!$B$50</f>
        <v>0.6</v>
      </c>
      <c r="AA328" s="1126" t="e">
        <f t="shared" si="124"/>
        <v>#VALUE!</v>
      </c>
      <c r="AB328" s="1126" t="e">
        <f t="shared" si="125"/>
        <v>#VALUE!</v>
      </c>
      <c r="AC328" s="1126" t="e">
        <f t="shared" si="126"/>
        <v>#VALUE!</v>
      </c>
      <c r="AD328" s="1128" t="e">
        <f t="shared" si="127"/>
        <v>#VALUE!</v>
      </c>
      <c r="AE328" s="1128">
        <f t="shared" si="128"/>
        <v>0</v>
      </c>
      <c r="AF328" s="1096">
        <f>IF(H328&gt;8,tab!$B$51,tab!$B$54)</f>
        <v>0.5</v>
      </c>
      <c r="AG328" s="1097">
        <f t="shared" si="137"/>
        <v>0</v>
      </c>
      <c r="AH328" s="1093">
        <f t="shared" si="138"/>
        <v>0</v>
      </c>
      <c r="AI328" s="1120" t="e">
        <f>DATE(YEAR(tab!$G$3),MONTH(G328),DAY(G328))&gt;tab!$G$3</f>
        <v>#VALUE!</v>
      </c>
      <c r="AJ328" s="1120" t="e">
        <f t="shared" si="139"/>
        <v>#VALUE!</v>
      </c>
      <c r="AK328" s="1041">
        <f t="shared" si="140"/>
        <v>30</v>
      </c>
      <c r="AL328" s="1041">
        <f t="shared" si="141"/>
        <v>30</v>
      </c>
      <c r="AM328" s="1047">
        <f t="shared" si="142"/>
        <v>0</v>
      </c>
      <c r="AS328" s="727"/>
    </row>
    <row r="329" spans="3:45" ht="12.75" customHeight="1" x14ac:dyDescent="0.3">
      <c r="C329" s="122"/>
      <c r="D329" s="388" t="str">
        <f>IF(op!D262=0,"",op!D262)</f>
        <v/>
      </c>
      <c r="E329" s="388" t="str">
        <f>IF(op!E262=0,"-",op!E262)</f>
        <v/>
      </c>
      <c r="F329" s="684" t="str">
        <f>IF(op!F262="","",op!F262+1)</f>
        <v/>
      </c>
      <c r="G329" s="710" t="str">
        <f>IF(op!G262="","",op!G262)</f>
        <v/>
      </c>
      <c r="H329" s="684" t="str">
        <f>IF(op!H262=0,"",op!H262)</f>
        <v/>
      </c>
      <c r="I329" s="389" t="str">
        <f>IF(J329="","",(IF(op!I262+1&gt;LOOKUP(H329,schaal2019,regels2019),op!I262,op!I262+1)))</f>
        <v/>
      </c>
      <c r="J329" s="711" t="str">
        <f>IF(op!J262="","",op!J262)</f>
        <v/>
      </c>
      <c r="K329" s="472"/>
      <c r="L329" s="1049">
        <f>IF(op!L262="","",op!L262)</f>
        <v>0</v>
      </c>
      <c r="M329" s="1049">
        <f>IF(op!M262="","",op!M262)</f>
        <v>0</v>
      </c>
      <c r="N329" s="1051" t="str">
        <f t="shared" si="118"/>
        <v/>
      </c>
      <c r="O329" s="1051" t="str">
        <f t="shared" si="119"/>
        <v/>
      </c>
      <c r="P329" s="1125" t="str">
        <f t="shared" si="120"/>
        <v/>
      </c>
      <c r="Q329" s="472"/>
      <c r="R329" s="923" t="str">
        <f t="shared" si="135"/>
        <v/>
      </c>
      <c r="S329" s="923" t="str">
        <f t="shared" si="121"/>
        <v/>
      </c>
      <c r="T329" s="925" t="str">
        <f t="shared" si="122"/>
        <v/>
      </c>
      <c r="U329" s="545"/>
      <c r="V329" s="1103"/>
      <c r="W329" s="1103"/>
      <c r="X329" s="1060"/>
      <c r="Y329" s="1095" t="e">
        <f t="shared" si="136"/>
        <v>#VALUE!</v>
      </c>
      <c r="Z329" s="1094">
        <f>tab!$B$50</f>
        <v>0.6</v>
      </c>
      <c r="AA329" s="1126" t="e">
        <f t="shared" si="124"/>
        <v>#VALUE!</v>
      </c>
      <c r="AB329" s="1126" t="e">
        <f t="shared" si="125"/>
        <v>#VALUE!</v>
      </c>
      <c r="AC329" s="1126" t="e">
        <f t="shared" si="126"/>
        <v>#VALUE!</v>
      </c>
      <c r="AD329" s="1128" t="e">
        <f t="shared" si="127"/>
        <v>#VALUE!</v>
      </c>
      <c r="AE329" s="1128">
        <f t="shared" si="128"/>
        <v>0</v>
      </c>
      <c r="AF329" s="1096">
        <f>IF(H329&gt;8,tab!$B$51,tab!$B$54)</f>
        <v>0.5</v>
      </c>
      <c r="AG329" s="1097">
        <f t="shared" si="137"/>
        <v>0</v>
      </c>
      <c r="AH329" s="1093">
        <f t="shared" si="138"/>
        <v>0</v>
      </c>
      <c r="AI329" s="1120" t="e">
        <f>DATE(YEAR(tab!$G$3),MONTH(G329),DAY(G329))&gt;tab!$G$3</f>
        <v>#VALUE!</v>
      </c>
      <c r="AJ329" s="1120" t="e">
        <f t="shared" si="139"/>
        <v>#VALUE!</v>
      </c>
      <c r="AK329" s="1041">
        <f t="shared" si="140"/>
        <v>30</v>
      </c>
      <c r="AL329" s="1041">
        <f t="shared" si="141"/>
        <v>30</v>
      </c>
      <c r="AM329" s="1047">
        <f t="shared" si="142"/>
        <v>0</v>
      </c>
      <c r="AS329" s="727"/>
    </row>
    <row r="330" spans="3:45" ht="12.75" customHeight="1" x14ac:dyDescent="0.3">
      <c r="C330" s="122"/>
      <c r="D330" s="388" t="str">
        <f>IF(op!D263=0,"",op!D263)</f>
        <v/>
      </c>
      <c r="E330" s="388" t="str">
        <f>IF(op!E263=0,"-",op!E263)</f>
        <v/>
      </c>
      <c r="F330" s="684" t="str">
        <f>IF(op!F263="","",op!F263+1)</f>
        <v/>
      </c>
      <c r="G330" s="710" t="str">
        <f>IF(op!G263="","",op!G263)</f>
        <v/>
      </c>
      <c r="H330" s="684" t="str">
        <f>IF(op!H263=0,"",op!H263)</f>
        <v/>
      </c>
      <c r="I330" s="389" t="str">
        <f>IF(J330="","",(IF(op!I263+1&gt;LOOKUP(H330,schaal2019,regels2019),op!I263,op!I263+1)))</f>
        <v/>
      </c>
      <c r="J330" s="711" t="str">
        <f>IF(op!J263="","",op!J263)</f>
        <v/>
      </c>
      <c r="K330" s="472"/>
      <c r="L330" s="1049">
        <f>IF(op!L263="","",op!L263)</f>
        <v>0</v>
      </c>
      <c r="M330" s="1049">
        <f>IF(op!M263="","",op!M263)</f>
        <v>0</v>
      </c>
      <c r="N330" s="1051" t="str">
        <f t="shared" si="118"/>
        <v/>
      </c>
      <c r="O330" s="1051" t="str">
        <f t="shared" si="119"/>
        <v/>
      </c>
      <c r="P330" s="1125" t="str">
        <f t="shared" si="120"/>
        <v/>
      </c>
      <c r="Q330" s="472"/>
      <c r="R330" s="923" t="str">
        <f t="shared" si="135"/>
        <v/>
      </c>
      <c r="S330" s="923" t="str">
        <f t="shared" si="121"/>
        <v/>
      </c>
      <c r="T330" s="925" t="str">
        <f t="shared" si="122"/>
        <v/>
      </c>
      <c r="U330" s="545"/>
      <c r="V330" s="1103"/>
      <c r="W330" s="1103"/>
      <c r="X330" s="1060"/>
      <c r="Y330" s="1095" t="e">
        <f t="shared" si="136"/>
        <v>#VALUE!</v>
      </c>
      <c r="Z330" s="1094">
        <f>tab!$B$50</f>
        <v>0.6</v>
      </c>
      <c r="AA330" s="1126" t="e">
        <f t="shared" si="124"/>
        <v>#VALUE!</v>
      </c>
      <c r="AB330" s="1126" t="e">
        <f t="shared" si="125"/>
        <v>#VALUE!</v>
      </c>
      <c r="AC330" s="1126" t="e">
        <f t="shared" si="126"/>
        <v>#VALUE!</v>
      </c>
      <c r="AD330" s="1128" t="e">
        <f t="shared" si="127"/>
        <v>#VALUE!</v>
      </c>
      <c r="AE330" s="1128">
        <f t="shared" si="128"/>
        <v>0</v>
      </c>
      <c r="AF330" s="1096">
        <f>IF(H330&gt;8,tab!$B$51,tab!$B$54)</f>
        <v>0.5</v>
      </c>
      <c r="AG330" s="1097">
        <f t="shared" si="137"/>
        <v>0</v>
      </c>
      <c r="AH330" s="1093">
        <f t="shared" si="138"/>
        <v>0</v>
      </c>
      <c r="AI330" s="1120" t="e">
        <f>DATE(YEAR(tab!$G$3),MONTH(G330),DAY(G330))&gt;tab!$G$3</f>
        <v>#VALUE!</v>
      </c>
      <c r="AJ330" s="1120" t="e">
        <f t="shared" si="139"/>
        <v>#VALUE!</v>
      </c>
      <c r="AK330" s="1041">
        <f t="shared" si="140"/>
        <v>30</v>
      </c>
      <c r="AL330" s="1041">
        <f t="shared" si="141"/>
        <v>30</v>
      </c>
      <c r="AM330" s="1047">
        <f t="shared" si="142"/>
        <v>0</v>
      </c>
      <c r="AS330" s="727"/>
    </row>
    <row r="331" spans="3:45" ht="12.75" customHeight="1" x14ac:dyDescent="0.3">
      <c r="C331" s="122"/>
      <c r="D331" s="388" t="str">
        <f>IF(op!D264=0,"",op!D264)</f>
        <v/>
      </c>
      <c r="E331" s="388" t="str">
        <f>IF(op!E264=0,"-",op!E264)</f>
        <v/>
      </c>
      <c r="F331" s="684" t="str">
        <f>IF(op!F264="","",op!F264+1)</f>
        <v/>
      </c>
      <c r="G331" s="710" t="str">
        <f>IF(op!G264="","",op!G264)</f>
        <v/>
      </c>
      <c r="H331" s="684" t="str">
        <f>IF(op!H264=0,"",op!H264)</f>
        <v/>
      </c>
      <c r="I331" s="389" t="str">
        <f>IF(J331="","",(IF(op!I264+1&gt;LOOKUP(H331,schaal2019,regels2019),op!I264,op!I264+1)))</f>
        <v/>
      </c>
      <c r="J331" s="711" t="str">
        <f>IF(op!J264="","",op!J264)</f>
        <v/>
      </c>
      <c r="K331" s="472"/>
      <c r="L331" s="1049">
        <f>IF(op!L264="","",op!L264)</f>
        <v>0</v>
      </c>
      <c r="M331" s="1049">
        <f>IF(op!M264="","",op!M264)</f>
        <v>0</v>
      </c>
      <c r="N331" s="1051" t="str">
        <f t="shared" si="118"/>
        <v/>
      </c>
      <c r="O331" s="1051" t="str">
        <f t="shared" si="119"/>
        <v/>
      </c>
      <c r="P331" s="1125" t="str">
        <f t="shared" si="120"/>
        <v/>
      </c>
      <c r="Q331" s="472"/>
      <c r="R331" s="923" t="str">
        <f t="shared" si="135"/>
        <v/>
      </c>
      <c r="S331" s="923" t="str">
        <f t="shared" si="121"/>
        <v/>
      </c>
      <c r="T331" s="925" t="str">
        <f t="shared" si="122"/>
        <v/>
      </c>
      <c r="U331" s="545"/>
      <c r="V331" s="1103"/>
      <c r="W331" s="1103"/>
      <c r="X331" s="1060"/>
      <c r="Y331" s="1095" t="e">
        <f t="shared" si="136"/>
        <v>#VALUE!</v>
      </c>
      <c r="Z331" s="1094">
        <f>tab!$B$50</f>
        <v>0.6</v>
      </c>
      <c r="AA331" s="1126" t="e">
        <f t="shared" si="124"/>
        <v>#VALUE!</v>
      </c>
      <c r="AB331" s="1126" t="e">
        <f t="shared" si="125"/>
        <v>#VALUE!</v>
      </c>
      <c r="AC331" s="1126" t="e">
        <f t="shared" si="126"/>
        <v>#VALUE!</v>
      </c>
      <c r="AD331" s="1128" t="e">
        <f t="shared" si="127"/>
        <v>#VALUE!</v>
      </c>
      <c r="AE331" s="1128">
        <f t="shared" si="128"/>
        <v>0</v>
      </c>
      <c r="AF331" s="1096">
        <f>IF(H331&gt;8,tab!$B$51,tab!$B$54)</f>
        <v>0.5</v>
      </c>
      <c r="AG331" s="1097">
        <f t="shared" si="137"/>
        <v>0</v>
      </c>
      <c r="AH331" s="1093">
        <f t="shared" si="138"/>
        <v>0</v>
      </c>
      <c r="AI331" s="1120" t="e">
        <f>DATE(YEAR(tab!$G$3),MONTH(G331),DAY(G331))&gt;tab!$G$3</f>
        <v>#VALUE!</v>
      </c>
      <c r="AJ331" s="1120" t="e">
        <f t="shared" si="139"/>
        <v>#VALUE!</v>
      </c>
      <c r="AK331" s="1041">
        <f t="shared" si="140"/>
        <v>30</v>
      </c>
      <c r="AL331" s="1041">
        <f t="shared" si="141"/>
        <v>30</v>
      </c>
      <c r="AM331" s="1047">
        <f t="shared" si="142"/>
        <v>0</v>
      </c>
      <c r="AS331" s="727"/>
    </row>
    <row r="332" spans="3:45" ht="12.75" customHeight="1" x14ac:dyDescent="0.3">
      <c r="C332" s="122"/>
      <c r="D332" s="388" t="str">
        <f>IF(op!D265=0,"",op!D265)</f>
        <v/>
      </c>
      <c r="E332" s="388" t="str">
        <f>IF(op!E265=0,"-",op!E265)</f>
        <v/>
      </c>
      <c r="F332" s="684" t="str">
        <f>IF(op!F265="","",op!F265+1)</f>
        <v/>
      </c>
      <c r="G332" s="710" t="str">
        <f>IF(op!G265="","",op!G265)</f>
        <v/>
      </c>
      <c r="H332" s="684" t="str">
        <f>IF(op!H265=0,"",op!H265)</f>
        <v/>
      </c>
      <c r="I332" s="389" t="str">
        <f>IF(J332="","",(IF(op!I265+1&gt;LOOKUP(H332,schaal2019,regels2019),op!I265,op!I265+1)))</f>
        <v/>
      </c>
      <c r="J332" s="711" t="str">
        <f>IF(op!J265="","",op!J265)</f>
        <v/>
      </c>
      <c r="K332" s="472"/>
      <c r="L332" s="1049">
        <f>IF(op!L265="","",op!L265)</f>
        <v>0</v>
      </c>
      <c r="M332" s="1049">
        <f>IF(op!M265="","",op!M265)</f>
        <v>0</v>
      </c>
      <c r="N332" s="1051" t="str">
        <f t="shared" si="118"/>
        <v/>
      </c>
      <c r="O332" s="1051" t="str">
        <f t="shared" si="119"/>
        <v/>
      </c>
      <c r="P332" s="1125" t="str">
        <f t="shared" si="120"/>
        <v/>
      </c>
      <c r="Q332" s="472"/>
      <c r="R332" s="923" t="str">
        <f t="shared" si="135"/>
        <v/>
      </c>
      <c r="S332" s="923" t="str">
        <f t="shared" si="121"/>
        <v/>
      </c>
      <c r="T332" s="925" t="str">
        <f t="shared" si="122"/>
        <v/>
      </c>
      <c r="U332" s="545"/>
      <c r="V332" s="1103"/>
      <c r="W332" s="1103"/>
      <c r="X332" s="1060"/>
      <c r="Y332" s="1095" t="e">
        <f t="shared" si="136"/>
        <v>#VALUE!</v>
      </c>
      <c r="Z332" s="1094">
        <f>tab!$B$50</f>
        <v>0.6</v>
      </c>
      <c r="AA332" s="1126" t="e">
        <f t="shared" si="124"/>
        <v>#VALUE!</v>
      </c>
      <c r="AB332" s="1126" t="e">
        <f t="shared" si="125"/>
        <v>#VALUE!</v>
      </c>
      <c r="AC332" s="1126" t="e">
        <f t="shared" si="126"/>
        <v>#VALUE!</v>
      </c>
      <c r="AD332" s="1128" t="e">
        <f t="shared" si="127"/>
        <v>#VALUE!</v>
      </c>
      <c r="AE332" s="1128">
        <f t="shared" si="128"/>
        <v>0</v>
      </c>
      <c r="AF332" s="1096">
        <f>IF(H332&gt;8,tab!$B$51,tab!$B$54)</f>
        <v>0.5</v>
      </c>
      <c r="AG332" s="1097">
        <f t="shared" si="137"/>
        <v>0</v>
      </c>
      <c r="AH332" s="1093">
        <f t="shared" si="138"/>
        <v>0</v>
      </c>
      <c r="AI332" s="1120" t="e">
        <f>DATE(YEAR(tab!$G$3),MONTH(G332),DAY(G332))&gt;tab!$G$3</f>
        <v>#VALUE!</v>
      </c>
      <c r="AJ332" s="1120" t="e">
        <f t="shared" si="139"/>
        <v>#VALUE!</v>
      </c>
      <c r="AK332" s="1041">
        <f t="shared" si="140"/>
        <v>30</v>
      </c>
      <c r="AL332" s="1041">
        <f t="shared" si="141"/>
        <v>30</v>
      </c>
      <c r="AM332" s="1047">
        <f t="shared" si="142"/>
        <v>0</v>
      </c>
      <c r="AS332" s="727"/>
    </row>
    <row r="333" spans="3:45" ht="12.75" customHeight="1" x14ac:dyDescent="0.3">
      <c r="C333" s="122"/>
      <c r="D333" s="388" t="str">
        <f>IF(op!D266=0,"",op!D266)</f>
        <v/>
      </c>
      <c r="E333" s="388" t="str">
        <f>IF(op!E266=0,"-",op!E266)</f>
        <v/>
      </c>
      <c r="F333" s="684" t="str">
        <f>IF(op!F266="","",op!F266+1)</f>
        <v/>
      </c>
      <c r="G333" s="710" t="str">
        <f>IF(op!G266="","",op!G266)</f>
        <v/>
      </c>
      <c r="H333" s="684" t="str">
        <f>IF(op!H266=0,"",op!H266)</f>
        <v/>
      </c>
      <c r="I333" s="389" t="str">
        <f>IF(J333="","",(IF(op!I266+1&gt;LOOKUP(H333,schaal2019,regels2019),op!I266,op!I266+1)))</f>
        <v/>
      </c>
      <c r="J333" s="711" t="str">
        <f>IF(op!J266="","",op!J266)</f>
        <v/>
      </c>
      <c r="K333" s="472"/>
      <c r="L333" s="1049">
        <f>IF(op!L266="","",op!L266)</f>
        <v>0</v>
      </c>
      <c r="M333" s="1049">
        <f>IF(op!M266="","",op!M266)</f>
        <v>0</v>
      </c>
      <c r="N333" s="1051" t="str">
        <f t="shared" si="118"/>
        <v/>
      </c>
      <c r="O333" s="1051" t="str">
        <f t="shared" si="119"/>
        <v/>
      </c>
      <c r="P333" s="1125" t="str">
        <f t="shared" si="120"/>
        <v/>
      </c>
      <c r="Q333" s="472"/>
      <c r="R333" s="923" t="str">
        <f t="shared" si="135"/>
        <v/>
      </c>
      <c r="S333" s="923" t="str">
        <f t="shared" si="121"/>
        <v/>
      </c>
      <c r="T333" s="925" t="str">
        <f t="shared" si="122"/>
        <v/>
      </c>
      <c r="U333" s="545"/>
      <c r="V333" s="1103"/>
      <c r="W333" s="1103"/>
      <c r="X333" s="1060"/>
      <c r="Y333" s="1095" t="e">
        <f t="shared" si="136"/>
        <v>#VALUE!</v>
      </c>
      <c r="Z333" s="1094">
        <f>tab!$B$50</f>
        <v>0.6</v>
      </c>
      <c r="AA333" s="1126" t="e">
        <f t="shared" si="124"/>
        <v>#VALUE!</v>
      </c>
      <c r="AB333" s="1126" t="e">
        <f t="shared" si="125"/>
        <v>#VALUE!</v>
      </c>
      <c r="AC333" s="1126" t="e">
        <f t="shared" si="126"/>
        <v>#VALUE!</v>
      </c>
      <c r="AD333" s="1128" t="e">
        <f t="shared" si="127"/>
        <v>#VALUE!</v>
      </c>
      <c r="AE333" s="1128">
        <f t="shared" si="128"/>
        <v>0</v>
      </c>
      <c r="AF333" s="1096">
        <f>IF(H333&gt;8,tab!$B$51,tab!$B$54)</f>
        <v>0.5</v>
      </c>
      <c r="AG333" s="1097">
        <f t="shared" si="137"/>
        <v>0</v>
      </c>
      <c r="AH333" s="1093">
        <f t="shared" si="138"/>
        <v>0</v>
      </c>
      <c r="AI333" s="1120" t="e">
        <f>DATE(YEAR(tab!$G$3),MONTH(G333),DAY(G333))&gt;tab!$G$3</f>
        <v>#VALUE!</v>
      </c>
      <c r="AJ333" s="1120" t="e">
        <f t="shared" si="139"/>
        <v>#VALUE!</v>
      </c>
      <c r="AK333" s="1041">
        <f t="shared" si="140"/>
        <v>30</v>
      </c>
      <c r="AL333" s="1041">
        <f t="shared" si="141"/>
        <v>30</v>
      </c>
      <c r="AM333" s="1047">
        <f t="shared" si="142"/>
        <v>0</v>
      </c>
      <c r="AS333" s="727"/>
    </row>
    <row r="334" spans="3:45" ht="12.75" customHeight="1" x14ac:dyDescent="0.3">
      <c r="C334" s="122"/>
      <c r="D334" s="388" t="str">
        <f>IF(op!D267=0,"",op!D267)</f>
        <v/>
      </c>
      <c r="E334" s="388" t="str">
        <f>IF(op!E267=0,"-",op!E267)</f>
        <v/>
      </c>
      <c r="F334" s="684" t="str">
        <f>IF(op!F267="","",op!F267+1)</f>
        <v/>
      </c>
      <c r="G334" s="710" t="str">
        <f>IF(op!G267="","",op!G267)</f>
        <v/>
      </c>
      <c r="H334" s="684" t="str">
        <f>IF(op!H267=0,"",op!H267)</f>
        <v/>
      </c>
      <c r="I334" s="389" t="str">
        <f>IF(J334="","",(IF(op!I267+1&gt;LOOKUP(H334,schaal2019,regels2019),op!I267,op!I267+1)))</f>
        <v/>
      </c>
      <c r="J334" s="711" t="str">
        <f>IF(op!J267="","",op!J267)</f>
        <v/>
      </c>
      <c r="K334" s="472"/>
      <c r="L334" s="1049">
        <f>IF(op!L267="","",op!L267)</f>
        <v>0</v>
      </c>
      <c r="M334" s="1049">
        <f>IF(op!M267="","",op!M267)</f>
        <v>0</v>
      </c>
      <c r="N334" s="1051" t="str">
        <f t="shared" si="118"/>
        <v/>
      </c>
      <c r="O334" s="1051" t="str">
        <f t="shared" si="119"/>
        <v/>
      </c>
      <c r="P334" s="1125" t="str">
        <f t="shared" si="120"/>
        <v/>
      </c>
      <c r="Q334" s="472"/>
      <c r="R334" s="923" t="str">
        <f t="shared" si="135"/>
        <v/>
      </c>
      <c r="S334" s="923" t="str">
        <f t="shared" si="121"/>
        <v/>
      </c>
      <c r="T334" s="925" t="str">
        <f t="shared" si="122"/>
        <v/>
      </c>
      <c r="U334" s="545"/>
      <c r="V334" s="1103"/>
      <c r="W334" s="1103"/>
      <c r="X334" s="1060"/>
      <c r="Y334" s="1095" t="e">
        <f t="shared" si="136"/>
        <v>#VALUE!</v>
      </c>
      <c r="Z334" s="1094">
        <f>tab!$B$50</f>
        <v>0.6</v>
      </c>
      <c r="AA334" s="1126" t="e">
        <f t="shared" si="124"/>
        <v>#VALUE!</v>
      </c>
      <c r="AB334" s="1126" t="e">
        <f t="shared" si="125"/>
        <v>#VALUE!</v>
      </c>
      <c r="AC334" s="1126" t="e">
        <f t="shared" si="126"/>
        <v>#VALUE!</v>
      </c>
      <c r="AD334" s="1128" t="e">
        <f t="shared" si="127"/>
        <v>#VALUE!</v>
      </c>
      <c r="AE334" s="1128">
        <f t="shared" si="128"/>
        <v>0</v>
      </c>
      <c r="AF334" s="1096">
        <f>IF(H334&gt;8,tab!$B$51,tab!$B$54)</f>
        <v>0.5</v>
      </c>
      <c r="AG334" s="1097">
        <f t="shared" si="137"/>
        <v>0</v>
      </c>
      <c r="AH334" s="1093">
        <f t="shared" si="138"/>
        <v>0</v>
      </c>
      <c r="AI334" s="1120" t="e">
        <f>DATE(YEAR(tab!$G$3),MONTH(G334),DAY(G334))&gt;tab!$G$3</f>
        <v>#VALUE!</v>
      </c>
      <c r="AJ334" s="1120" t="e">
        <f t="shared" si="139"/>
        <v>#VALUE!</v>
      </c>
      <c r="AK334" s="1041">
        <f t="shared" si="140"/>
        <v>30</v>
      </c>
      <c r="AL334" s="1041">
        <f t="shared" si="141"/>
        <v>30</v>
      </c>
      <c r="AM334" s="1047">
        <f t="shared" si="142"/>
        <v>0</v>
      </c>
      <c r="AS334" s="727"/>
    </row>
    <row r="335" spans="3:45" ht="12.75" customHeight="1" x14ac:dyDescent="0.3">
      <c r="C335" s="122"/>
      <c r="D335" s="388" t="str">
        <f>IF(op!D268=0,"",op!D268)</f>
        <v/>
      </c>
      <c r="E335" s="388" t="str">
        <f>IF(op!E268=0,"-",op!E268)</f>
        <v/>
      </c>
      <c r="F335" s="684" t="str">
        <f>IF(op!F268="","",op!F268+1)</f>
        <v/>
      </c>
      <c r="G335" s="710" t="str">
        <f>IF(op!G268="","",op!G268)</f>
        <v/>
      </c>
      <c r="H335" s="684" t="str">
        <f>IF(op!H268=0,"",op!H268)</f>
        <v/>
      </c>
      <c r="I335" s="389" t="str">
        <f>IF(J335="","",(IF(op!I268+1&gt;LOOKUP(H335,schaal2019,regels2019),op!I268,op!I268+1)))</f>
        <v/>
      </c>
      <c r="J335" s="711" t="str">
        <f>IF(op!J268="","",op!J268)</f>
        <v/>
      </c>
      <c r="K335" s="472"/>
      <c r="L335" s="1049">
        <f>IF(op!L268="","",op!L268)</f>
        <v>0</v>
      </c>
      <c r="M335" s="1049">
        <f>IF(op!M268="","",op!M268)</f>
        <v>0</v>
      </c>
      <c r="N335" s="1051" t="str">
        <f t="shared" si="118"/>
        <v/>
      </c>
      <c r="O335" s="1051" t="str">
        <f t="shared" si="119"/>
        <v/>
      </c>
      <c r="P335" s="1125" t="str">
        <f t="shared" si="120"/>
        <v/>
      </c>
      <c r="Q335" s="472"/>
      <c r="R335" s="923" t="str">
        <f t="shared" si="135"/>
        <v/>
      </c>
      <c r="S335" s="923" t="str">
        <f t="shared" si="121"/>
        <v/>
      </c>
      <c r="T335" s="925" t="str">
        <f t="shared" si="122"/>
        <v/>
      </c>
      <c r="U335" s="545"/>
      <c r="V335" s="1103"/>
      <c r="W335" s="1103"/>
      <c r="X335" s="1060"/>
      <c r="Y335" s="1095" t="e">
        <f t="shared" si="136"/>
        <v>#VALUE!</v>
      </c>
      <c r="Z335" s="1094">
        <f>tab!$B$50</f>
        <v>0.6</v>
      </c>
      <c r="AA335" s="1126" t="e">
        <f t="shared" si="124"/>
        <v>#VALUE!</v>
      </c>
      <c r="AB335" s="1126" t="e">
        <f t="shared" si="125"/>
        <v>#VALUE!</v>
      </c>
      <c r="AC335" s="1126" t="e">
        <f t="shared" si="126"/>
        <v>#VALUE!</v>
      </c>
      <c r="AD335" s="1128" t="e">
        <f t="shared" si="127"/>
        <v>#VALUE!</v>
      </c>
      <c r="AE335" s="1128">
        <f t="shared" si="128"/>
        <v>0</v>
      </c>
      <c r="AF335" s="1096">
        <f>IF(H335&gt;8,tab!$B$51,tab!$B$54)</f>
        <v>0.5</v>
      </c>
      <c r="AG335" s="1097">
        <f t="shared" si="137"/>
        <v>0</v>
      </c>
      <c r="AH335" s="1093">
        <f t="shared" si="138"/>
        <v>0</v>
      </c>
      <c r="AI335" s="1120" t="e">
        <f>DATE(YEAR(tab!$G$3),MONTH(G335),DAY(G335))&gt;tab!$G$3</f>
        <v>#VALUE!</v>
      </c>
      <c r="AJ335" s="1120" t="e">
        <f t="shared" si="139"/>
        <v>#VALUE!</v>
      </c>
      <c r="AK335" s="1041">
        <f t="shared" si="140"/>
        <v>30</v>
      </c>
      <c r="AL335" s="1041">
        <f t="shared" si="141"/>
        <v>30</v>
      </c>
      <c r="AM335" s="1047">
        <f t="shared" si="142"/>
        <v>0</v>
      </c>
      <c r="AS335" s="727"/>
    </row>
    <row r="336" spans="3:45" ht="12.75" customHeight="1" x14ac:dyDescent="0.3">
      <c r="C336" s="122"/>
      <c r="D336" s="388" t="str">
        <f>IF(op!D269=0,"",op!D269)</f>
        <v/>
      </c>
      <c r="E336" s="388" t="str">
        <f>IF(op!E269=0,"-",op!E269)</f>
        <v/>
      </c>
      <c r="F336" s="684" t="str">
        <f>IF(op!F269="","",op!F269+1)</f>
        <v/>
      </c>
      <c r="G336" s="710" t="str">
        <f>IF(op!G269="","",op!G269)</f>
        <v/>
      </c>
      <c r="H336" s="684" t="str">
        <f>IF(op!H269=0,"",op!H269)</f>
        <v/>
      </c>
      <c r="I336" s="389" t="str">
        <f>IF(J336="","",(IF(op!I269+1&gt;LOOKUP(H336,schaal2019,regels2019),op!I269,op!I269+1)))</f>
        <v/>
      </c>
      <c r="J336" s="711" t="str">
        <f>IF(op!J269="","",op!J269)</f>
        <v/>
      </c>
      <c r="K336" s="472"/>
      <c r="L336" s="1049">
        <f>IF(op!L269="","",op!L269)</f>
        <v>0</v>
      </c>
      <c r="M336" s="1049">
        <f>IF(op!M269="","",op!M269)</f>
        <v>0</v>
      </c>
      <c r="N336" s="1051" t="str">
        <f t="shared" si="118"/>
        <v/>
      </c>
      <c r="O336" s="1051" t="str">
        <f t="shared" si="119"/>
        <v/>
      </c>
      <c r="P336" s="1125" t="str">
        <f t="shared" si="120"/>
        <v/>
      </c>
      <c r="Q336" s="472"/>
      <c r="R336" s="923" t="str">
        <f t="shared" si="135"/>
        <v/>
      </c>
      <c r="S336" s="923" t="str">
        <f t="shared" si="121"/>
        <v/>
      </c>
      <c r="T336" s="925" t="str">
        <f t="shared" si="122"/>
        <v/>
      </c>
      <c r="U336" s="545"/>
      <c r="V336" s="1103"/>
      <c r="W336" s="1103"/>
      <c r="X336" s="1060"/>
      <c r="Y336" s="1095" t="e">
        <f t="shared" si="136"/>
        <v>#VALUE!</v>
      </c>
      <c r="Z336" s="1094">
        <f>tab!$B$50</f>
        <v>0.6</v>
      </c>
      <c r="AA336" s="1126" t="e">
        <f t="shared" si="124"/>
        <v>#VALUE!</v>
      </c>
      <c r="AB336" s="1126" t="e">
        <f t="shared" si="125"/>
        <v>#VALUE!</v>
      </c>
      <c r="AC336" s="1126" t="e">
        <f t="shared" si="126"/>
        <v>#VALUE!</v>
      </c>
      <c r="AD336" s="1128" t="e">
        <f t="shared" si="127"/>
        <v>#VALUE!</v>
      </c>
      <c r="AE336" s="1128">
        <f t="shared" si="128"/>
        <v>0</v>
      </c>
      <c r="AF336" s="1096">
        <f>IF(H336&gt;8,tab!$B$51,tab!$B$54)</f>
        <v>0.5</v>
      </c>
      <c r="AG336" s="1097">
        <f t="shared" si="137"/>
        <v>0</v>
      </c>
      <c r="AH336" s="1093">
        <f t="shared" si="138"/>
        <v>0</v>
      </c>
      <c r="AI336" s="1120" t="e">
        <f>DATE(YEAR(tab!$G$3),MONTH(G336),DAY(G336))&gt;tab!$G$3</f>
        <v>#VALUE!</v>
      </c>
      <c r="AJ336" s="1120" t="e">
        <f t="shared" si="139"/>
        <v>#VALUE!</v>
      </c>
      <c r="AK336" s="1041">
        <f t="shared" si="140"/>
        <v>30</v>
      </c>
      <c r="AL336" s="1041">
        <f t="shared" si="141"/>
        <v>30</v>
      </c>
      <c r="AM336" s="1047">
        <f t="shared" si="142"/>
        <v>0</v>
      </c>
      <c r="AS336" s="727"/>
    </row>
    <row r="337" spans="3:50" ht="12.75" customHeight="1" x14ac:dyDescent="0.3">
      <c r="C337" s="122"/>
      <c r="D337" s="388" t="str">
        <f>IF(op!D270=0,"",op!D270)</f>
        <v/>
      </c>
      <c r="E337" s="388" t="str">
        <f>IF(op!E270=0,"-",op!E270)</f>
        <v/>
      </c>
      <c r="F337" s="684" t="str">
        <f>IF(op!F270="","",op!F270+1)</f>
        <v/>
      </c>
      <c r="G337" s="710" t="str">
        <f>IF(op!G270="","",op!G270)</f>
        <v/>
      </c>
      <c r="H337" s="684" t="str">
        <f>IF(op!H270=0,"",op!H270)</f>
        <v/>
      </c>
      <c r="I337" s="389" t="str">
        <f>IF(J337="","",(IF(op!I270+1&gt;LOOKUP(H337,schaal2019,regels2019),op!I270,op!I270+1)))</f>
        <v/>
      </c>
      <c r="J337" s="711" t="str">
        <f>IF(op!J270="","",op!J270)</f>
        <v/>
      </c>
      <c r="K337" s="472"/>
      <c r="L337" s="1049">
        <f>IF(op!L270="","",op!L270)</f>
        <v>0</v>
      </c>
      <c r="M337" s="1049">
        <f>IF(op!M270="","",op!M270)</f>
        <v>0</v>
      </c>
      <c r="N337" s="1051" t="str">
        <f t="shared" si="118"/>
        <v/>
      </c>
      <c r="O337" s="1051" t="str">
        <f t="shared" si="119"/>
        <v/>
      </c>
      <c r="P337" s="1125" t="str">
        <f t="shared" si="120"/>
        <v/>
      </c>
      <c r="Q337" s="472"/>
      <c r="R337" s="923" t="str">
        <f t="shared" si="135"/>
        <v/>
      </c>
      <c r="S337" s="923" t="str">
        <f t="shared" si="121"/>
        <v/>
      </c>
      <c r="T337" s="925" t="str">
        <f t="shared" si="122"/>
        <v/>
      </c>
      <c r="U337" s="545"/>
      <c r="V337" s="1103"/>
      <c r="W337" s="1103"/>
      <c r="X337" s="1060"/>
      <c r="Y337" s="1095" t="e">
        <f t="shared" si="136"/>
        <v>#VALUE!</v>
      </c>
      <c r="Z337" s="1094">
        <f>tab!$B$50</f>
        <v>0.6</v>
      </c>
      <c r="AA337" s="1126" t="e">
        <f t="shared" si="124"/>
        <v>#VALUE!</v>
      </c>
      <c r="AB337" s="1126" t="e">
        <f t="shared" si="125"/>
        <v>#VALUE!</v>
      </c>
      <c r="AC337" s="1126" t="e">
        <f t="shared" si="126"/>
        <v>#VALUE!</v>
      </c>
      <c r="AD337" s="1128" t="e">
        <f t="shared" si="127"/>
        <v>#VALUE!</v>
      </c>
      <c r="AE337" s="1128">
        <f t="shared" si="128"/>
        <v>0</v>
      </c>
      <c r="AF337" s="1096">
        <f>IF(H337&gt;8,tab!$B$51,tab!$B$54)</f>
        <v>0.5</v>
      </c>
      <c r="AG337" s="1097">
        <f t="shared" si="137"/>
        <v>0</v>
      </c>
      <c r="AH337" s="1093">
        <f t="shared" si="138"/>
        <v>0</v>
      </c>
      <c r="AI337" s="1120" t="e">
        <f>DATE(YEAR(tab!$G$3),MONTH(G337),DAY(G337))&gt;tab!$G$3</f>
        <v>#VALUE!</v>
      </c>
      <c r="AJ337" s="1120" t="e">
        <f t="shared" si="139"/>
        <v>#VALUE!</v>
      </c>
      <c r="AK337" s="1041">
        <f t="shared" si="140"/>
        <v>30</v>
      </c>
      <c r="AL337" s="1041">
        <f t="shared" si="141"/>
        <v>30</v>
      </c>
      <c r="AM337" s="1047">
        <f t="shared" si="142"/>
        <v>0</v>
      </c>
      <c r="AS337" s="727"/>
    </row>
    <row r="338" spans="3:50" ht="12.75" customHeight="1" x14ac:dyDescent="0.3">
      <c r="C338" s="122"/>
      <c r="D338" s="388" t="str">
        <f>IF(op!D271=0,"",op!D271)</f>
        <v/>
      </c>
      <c r="E338" s="388" t="str">
        <f>IF(op!E271=0,"-",op!E271)</f>
        <v/>
      </c>
      <c r="F338" s="684" t="str">
        <f>IF(op!F271="","",op!F271+1)</f>
        <v/>
      </c>
      <c r="G338" s="710" t="str">
        <f>IF(op!G271="","",op!G271)</f>
        <v/>
      </c>
      <c r="H338" s="684" t="str">
        <f>IF(op!H271=0,"",op!H271)</f>
        <v/>
      </c>
      <c r="I338" s="389" t="str">
        <f>IF(J338="","",(IF(op!I271+1&gt;LOOKUP(H338,schaal2019,regels2019),op!I271,op!I271+1)))</f>
        <v/>
      </c>
      <c r="J338" s="711" t="str">
        <f>IF(op!J271="","",op!J271)</f>
        <v/>
      </c>
      <c r="K338" s="472"/>
      <c r="L338" s="1049">
        <f>IF(op!L271="","",op!L271)</f>
        <v>0</v>
      </c>
      <c r="M338" s="1049">
        <f>IF(op!M271="","",op!M271)</f>
        <v>0</v>
      </c>
      <c r="N338" s="1051" t="str">
        <f t="shared" si="118"/>
        <v/>
      </c>
      <c r="O338" s="1051" t="str">
        <f t="shared" si="119"/>
        <v/>
      </c>
      <c r="P338" s="1125" t="str">
        <f t="shared" si="120"/>
        <v/>
      </c>
      <c r="Q338" s="472"/>
      <c r="R338" s="923" t="str">
        <f t="shared" si="135"/>
        <v/>
      </c>
      <c r="S338" s="923" t="str">
        <f t="shared" si="121"/>
        <v/>
      </c>
      <c r="T338" s="925" t="str">
        <f t="shared" si="122"/>
        <v/>
      </c>
      <c r="U338" s="545"/>
      <c r="V338" s="1103"/>
      <c r="W338" s="1103"/>
      <c r="X338" s="1060"/>
      <c r="Y338" s="1095" t="e">
        <f t="shared" si="136"/>
        <v>#VALUE!</v>
      </c>
      <c r="Z338" s="1094">
        <f>tab!$B$50</f>
        <v>0.6</v>
      </c>
      <c r="AA338" s="1126" t="e">
        <f t="shared" si="124"/>
        <v>#VALUE!</v>
      </c>
      <c r="AB338" s="1126" t="e">
        <f t="shared" si="125"/>
        <v>#VALUE!</v>
      </c>
      <c r="AC338" s="1126" t="e">
        <f t="shared" si="126"/>
        <v>#VALUE!</v>
      </c>
      <c r="AD338" s="1128" t="e">
        <f t="shared" si="127"/>
        <v>#VALUE!</v>
      </c>
      <c r="AE338" s="1128">
        <f t="shared" si="128"/>
        <v>0</v>
      </c>
      <c r="AF338" s="1096">
        <f>IF(H338&gt;8,tab!$B$51,tab!$B$54)</f>
        <v>0.5</v>
      </c>
      <c r="AG338" s="1097">
        <f t="shared" si="137"/>
        <v>0</v>
      </c>
      <c r="AH338" s="1093">
        <f t="shared" si="138"/>
        <v>0</v>
      </c>
      <c r="AI338" s="1120" t="e">
        <f>DATE(YEAR(tab!$G$3),MONTH(G338),DAY(G338))&gt;tab!$G$3</f>
        <v>#VALUE!</v>
      </c>
      <c r="AJ338" s="1120" t="e">
        <f t="shared" si="139"/>
        <v>#VALUE!</v>
      </c>
      <c r="AK338" s="1041">
        <f t="shared" si="140"/>
        <v>30</v>
      </c>
      <c r="AL338" s="1041">
        <f t="shared" si="141"/>
        <v>30</v>
      </c>
      <c r="AM338" s="1047">
        <f t="shared" si="142"/>
        <v>0</v>
      </c>
      <c r="AS338" s="727"/>
    </row>
    <row r="339" spans="3:50" ht="12.75" customHeight="1" x14ac:dyDescent="0.3">
      <c r="C339" s="122"/>
      <c r="D339" s="388" t="str">
        <f>IF(op!D272=0,"",op!D272)</f>
        <v/>
      </c>
      <c r="E339" s="388" t="str">
        <f>IF(op!E272=0,"-",op!E272)</f>
        <v/>
      </c>
      <c r="F339" s="684" t="str">
        <f>IF(op!F272="","",op!F272+1)</f>
        <v/>
      </c>
      <c r="G339" s="710" t="str">
        <f>IF(op!G272="","",op!G272)</f>
        <v/>
      </c>
      <c r="H339" s="684" t="str">
        <f>IF(op!H272=0,"",op!H272)</f>
        <v/>
      </c>
      <c r="I339" s="389" t="str">
        <f>IF(J339="","",(IF(op!I272+1&gt;LOOKUP(H339,schaal2019,regels2019),op!I272,op!I272+1)))</f>
        <v/>
      </c>
      <c r="J339" s="711" t="str">
        <f>IF(op!J272="","",op!J272)</f>
        <v/>
      </c>
      <c r="K339" s="472"/>
      <c r="L339" s="1049">
        <f>IF(op!L272="","",op!L272)</f>
        <v>0</v>
      </c>
      <c r="M339" s="1049">
        <f>IF(op!M272="","",op!M272)</f>
        <v>0</v>
      </c>
      <c r="N339" s="1051" t="str">
        <f t="shared" si="118"/>
        <v/>
      </c>
      <c r="O339" s="1051" t="str">
        <f t="shared" si="119"/>
        <v/>
      </c>
      <c r="P339" s="1125" t="str">
        <f t="shared" si="120"/>
        <v/>
      </c>
      <c r="Q339" s="472"/>
      <c r="R339" s="923" t="str">
        <f t="shared" si="135"/>
        <v/>
      </c>
      <c r="S339" s="923" t="str">
        <f t="shared" si="121"/>
        <v/>
      </c>
      <c r="T339" s="925" t="str">
        <f t="shared" si="122"/>
        <v/>
      </c>
      <c r="U339" s="545"/>
      <c r="V339" s="1103"/>
      <c r="W339" s="1103"/>
      <c r="X339" s="1060"/>
      <c r="Y339" s="1095" t="e">
        <f t="shared" si="136"/>
        <v>#VALUE!</v>
      </c>
      <c r="Z339" s="1094">
        <f>tab!$B$50</f>
        <v>0.6</v>
      </c>
      <c r="AA339" s="1126" t="e">
        <f t="shared" si="124"/>
        <v>#VALUE!</v>
      </c>
      <c r="AB339" s="1126" t="e">
        <f t="shared" si="125"/>
        <v>#VALUE!</v>
      </c>
      <c r="AC339" s="1126" t="e">
        <f t="shared" si="126"/>
        <v>#VALUE!</v>
      </c>
      <c r="AD339" s="1128" t="e">
        <f t="shared" si="127"/>
        <v>#VALUE!</v>
      </c>
      <c r="AE339" s="1128">
        <f t="shared" si="128"/>
        <v>0</v>
      </c>
      <c r="AF339" s="1096">
        <f>IF(H339&gt;8,tab!$B$51,tab!$B$54)</f>
        <v>0.5</v>
      </c>
      <c r="AG339" s="1097">
        <f t="shared" si="137"/>
        <v>0</v>
      </c>
      <c r="AH339" s="1093">
        <f t="shared" si="138"/>
        <v>0</v>
      </c>
      <c r="AI339" s="1120" t="e">
        <f>DATE(YEAR(tab!$G$3),MONTH(G339),DAY(G339))&gt;tab!$G$3</f>
        <v>#VALUE!</v>
      </c>
      <c r="AJ339" s="1120" t="e">
        <f t="shared" si="139"/>
        <v>#VALUE!</v>
      </c>
      <c r="AK339" s="1041">
        <f t="shared" si="140"/>
        <v>30</v>
      </c>
      <c r="AL339" s="1041">
        <f t="shared" si="141"/>
        <v>30</v>
      </c>
      <c r="AM339" s="1047">
        <f t="shared" si="142"/>
        <v>0</v>
      </c>
      <c r="AS339" s="727"/>
    </row>
    <row r="340" spans="3:50" ht="12.75" customHeight="1" x14ac:dyDescent="0.3">
      <c r="C340" s="122"/>
      <c r="D340" s="388" t="str">
        <f>IF(op!D273=0,"",op!D273)</f>
        <v/>
      </c>
      <c r="E340" s="388" t="str">
        <f>IF(op!E273=0,"-",op!E273)</f>
        <v/>
      </c>
      <c r="F340" s="684" t="str">
        <f>IF(op!F273="","",op!F273+1)</f>
        <v/>
      </c>
      <c r="G340" s="710" t="str">
        <f>IF(op!G273="","",op!G273)</f>
        <v/>
      </c>
      <c r="H340" s="684" t="str">
        <f>IF(op!H273=0,"",op!H273)</f>
        <v/>
      </c>
      <c r="I340" s="389" t="str">
        <f>IF(J340="","",(IF(op!I273+1&gt;LOOKUP(H340,schaal2019,regels2019),op!I273,op!I273+1)))</f>
        <v/>
      </c>
      <c r="J340" s="711" t="str">
        <f>IF(op!J273="","",op!J273)</f>
        <v/>
      </c>
      <c r="K340" s="472"/>
      <c r="L340" s="1049">
        <f>IF(op!L273="","",op!L273)</f>
        <v>0</v>
      </c>
      <c r="M340" s="1049">
        <f>IF(op!M273="","",op!M273)</f>
        <v>0</v>
      </c>
      <c r="N340" s="1051" t="str">
        <f t="shared" si="118"/>
        <v/>
      </c>
      <c r="O340" s="1051" t="str">
        <f t="shared" si="119"/>
        <v/>
      </c>
      <c r="P340" s="1125" t="str">
        <f t="shared" si="120"/>
        <v/>
      </c>
      <c r="Q340" s="472"/>
      <c r="R340" s="923" t="str">
        <f t="shared" si="135"/>
        <v/>
      </c>
      <c r="S340" s="923" t="str">
        <f t="shared" si="121"/>
        <v/>
      </c>
      <c r="T340" s="925" t="str">
        <f t="shared" si="122"/>
        <v/>
      </c>
      <c r="U340" s="545"/>
      <c r="V340" s="1103"/>
      <c r="W340" s="1103"/>
      <c r="X340" s="1060"/>
      <c r="Y340" s="1095" t="e">
        <f t="shared" si="136"/>
        <v>#VALUE!</v>
      </c>
      <c r="Z340" s="1094">
        <f>tab!$B$50</f>
        <v>0.6</v>
      </c>
      <c r="AA340" s="1126" t="e">
        <f t="shared" si="124"/>
        <v>#VALUE!</v>
      </c>
      <c r="AB340" s="1126" t="e">
        <f t="shared" si="125"/>
        <v>#VALUE!</v>
      </c>
      <c r="AC340" s="1126" t="e">
        <f t="shared" si="126"/>
        <v>#VALUE!</v>
      </c>
      <c r="AD340" s="1128" t="e">
        <f t="shared" si="127"/>
        <v>#VALUE!</v>
      </c>
      <c r="AE340" s="1128">
        <f t="shared" si="128"/>
        <v>0</v>
      </c>
      <c r="AF340" s="1096">
        <f>IF(H340&gt;8,tab!$B$51,tab!$B$54)</f>
        <v>0.5</v>
      </c>
      <c r="AG340" s="1097">
        <f t="shared" si="137"/>
        <v>0</v>
      </c>
      <c r="AH340" s="1093">
        <f t="shared" si="138"/>
        <v>0</v>
      </c>
      <c r="AI340" s="1120" t="e">
        <f>DATE(YEAR(tab!$G$3),MONTH(G340),DAY(G340))&gt;tab!$G$3</f>
        <v>#VALUE!</v>
      </c>
      <c r="AJ340" s="1120" t="e">
        <f t="shared" si="139"/>
        <v>#VALUE!</v>
      </c>
      <c r="AK340" s="1041">
        <f t="shared" si="140"/>
        <v>30</v>
      </c>
      <c r="AL340" s="1041">
        <f t="shared" si="141"/>
        <v>30</v>
      </c>
      <c r="AM340" s="1047">
        <f t="shared" si="142"/>
        <v>0</v>
      </c>
      <c r="AS340" s="727"/>
    </row>
    <row r="341" spans="3:50" x14ac:dyDescent="0.3">
      <c r="C341" s="447"/>
      <c r="D341" s="551"/>
      <c r="E341" s="713"/>
      <c r="F341" s="713"/>
      <c r="G341" s="714"/>
      <c r="H341" s="713"/>
      <c r="I341" s="715"/>
      <c r="J341" s="958">
        <f>SUM(J286:J340)</f>
        <v>1</v>
      </c>
      <c r="L341" s="1050">
        <f t="shared" ref="L341:P341" si="143">SUM(L286:L340)</f>
        <v>0</v>
      </c>
      <c r="M341" s="1050">
        <f t="shared" si="143"/>
        <v>0</v>
      </c>
      <c r="N341" s="1050">
        <f>SUM(N286:N340)</f>
        <v>40</v>
      </c>
      <c r="O341" s="1050">
        <f t="shared" si="143"/>
        <v>0</v>
      </c>
      <c r="P341" s="1050">
        <f t="shared" si="143"/>
        <v>40</v>
      </c>
      <c r="R341" s="959">
        <f t="shared" ref="R341:T341" si="144">SUM(R286:R340)</f>
        <v>81412.57142857142</v>
      </c>
      <c r="S341" s="960">
        <f t="shared" si="144"/>
        <v>2011.4285714285716</v>
      </c>
      <c r="T341" s="959">
        <f t="shared" si="144"/>
        <v>83423.999999999985</v>
      </c>
      <c r="U341" s="450"/>
      <c r="V341" s="1063"/>
      <c r="W341" s="1063"/>
      <c r="Y341" s="1095" t="e">
        <f t="shared" si="136"/>
        <v>#N/A</v>
      </c>
      <c r="Z341" s="1130"/>
      <c r="AA341" s="1098"/>
      <c r="AB341" s="1098"/>
      <c r="AC341" s="1098"/>
      <c r="AG341" s="1099">
        <f>SUM(AG286:AG340)</f>
        <v>0</v>
      </c>
      <c r="AH341" s="1100">
        <f>SUM(AH286:AH340)</f>
        <v>0</v>
      </c>
      <c r="AI341" s="1121"/>
      <c r="AJ341" s="1121"/>
      <c r="AS341" s="727"/>
    </row>
    <row r="342" spans="3:50" x14ac:dyDescent="0.3">
      <c r="H342" s="536"/>
      <c r="K342" s="440"/>
      <c r="Q342" s="440"/>
      <c r="R342" s="690"/>
      <c r="S342" s="716"/>
      <c r="V342" s="1063"/>
      <c r="W342" s="1063"/>
      <c r="Y342" s="1079"/>
      <c r="Z342" s="1130"/>
      <c r="AA342" s="1098"/>
      <c r="AB342" s="1098"/>
      <c r="AC342" s="1098"/>
      <c r="AG342" s="1099"/>
      <c r="AH342" s="1100"/>
      <c r="AS342" s="727"/>
    </row>
    <row r="343" spans="3:50" x14ac:dyDescent="0.3">
      <c r="V343" s="1063"/>
      <c r="W343" s="1063"/>
    </row>
    <row r="344" spans="3:50" x14ac:dyDescent="0.3">
      <c r="V344" s="1063"/>
      <c r="W344" s="1063"/>
    </row>
    <row r="345" spans="3:50" x14ac:dyDescent="0.3">
      <c r="C345" s="410" t="s">
        <v>180</v>
      </c>
      <c r="E345" s="729" t="str">
        <f>tab!G2</f>
        <v>2025/26</v>
      </c>
      <c r="V345" s="1063"/>
      <c r="W345" s="1063"/>
    </row>
    <row r="346" spans="3:50" x14ac:dyDescent="0.3">
      <c r="C346" s="410" t="s">
        <v>193</v>
      </c>
      <c r="E346" s="729">
        <f>tab!H3</f>
        <v>45931</v>
      </c>
      <c r="V346" s="1063"/>
      <c r="W346" s="1063"/>
    </row>
    <row r="347" spans="3:50" x14ac:dyDescent="0.3">
      <c r="V347" s="1063"/>
      <c r="W347" s="1063"/>
    </row>
    <row r="348" spans="3:50" ht="12.75" customHeight="1" x14ac:dyDescent="0.3">
      <c r="C348" s="682"/>
      <c r="D348" s="937"/>
      <c r="E348" s="938"/>
      <c r="F348" s="939"/>
      <c r="G348" s="940"/>
      <c r="H348" s="941"/>
      <c r="I348" s="941"/>
      <c r="J348" s="942"/>
      <c r="K348" s="943"/>
      <c r="L348" s="941"/>
      <c r="M348" s="941"/>
      <c r="N348" s="941"/>
      <c r="O348" s="941"/>
      <c r="P348" s="941"/>
      <c r="Q348" s="943"/>
      <c r="R348" s="943"/>
      <c r="S348" s="944"/>
      <c r="T348" s="945"/>
      <c r="U348" s="438"/>
      <c r="V348" s="1063"/>
      <c r="W348" s="1063"/>
      <c r="AN348" s="1044"/>
      <c r="AO348" s="1044"/>
      <c r="AP348" s="1044"/>
      <c r="AQ348" s="1044"/>
      <c r="AR348" s="953"/>
      <c r="AS348" s="693"/>
      <c r="AT348" s="695"/>
      <c r="AU348" s="707"/>
      <c r="AV348" s="694"/>
    </row>
    <row r="349" spans="3:50" ht="12.75" customHeight="1" x14ac:dyDescent="0.3">
      <c r="C349" s="125"/>
      <c r="D349" s="1033" t="s">
        <v>284</v>
      </c>
      <c r="E349" s="883"/>
      <c r="F349" s="883"/>
      <c r="G349" s="883"/>
      <c r="H349" s="883"/>
      <c r="I349" s="883"/>
      <c r="J349" s="883"/>
      <c r="K349" s="902"/>
      <c r="L349" s="1033" t="s">
        <v>502</v>
      </c>
      <c r="M349" s="1035"/>
      <c r="N349" s="1033"/>
      <c r="O349" s="1033"/>
      <c r="P349" s="1133"/>
      <c r="Q349" s="902"/>
      <c r="R349" s="1033" t="s">
        <v>503</v>
      </c>
      <c r="S349" s="1036"/>
      <c r="T349" s="1134"/>
      <c r="U349" s="1135"/>
      <c r="V349" s="1064"/>
      <c r="W349" s="1064"/>
      <c r="X349" s="384"/>
      <c r="Y349" s="1063"/>
      <c r="Z349" s="1136"/>
      <c r="AD349" s="1137"/>
      <c r="AE349" s="1137"/>
      <c r="AF349" s="1064"/>
      <c r="AG349" s="1090"/>
      <c r="AH349" s="1091"/>
      <c r="AM349" s="1041"/>
      <c r="AU349" s="410"/>
      <c r="AV349" s="410"/>
      <c r="AW349" s="725"/>
      <c r="AX349" s="725"/>
    </row>
    <row r="350" spans="3:50" ht="12.75" customHeight="1" x14ac:dyDescent="0.3">
      <c r="C350" s="125"/>
      <c r="D350" s="877" t="s">
        <v>494</v>
      </c>
      <c r="E350" s="877" t="s">
        <v>181</v>
      </c>
      <c r="F350" s="904" t="s">
        <v>137</v>
      </c>
      <c r="G350" s="905" t="s">
        <v>273</v>
      </c>
      <c r="H350" s="904" t="s">
        <v>206</v>
      </c>
      <c r="I350" s="904" t="s">
        <v>225</v>
      </c>
      <c r="J350" s="906" t="s">
        <v>140</v>
      </c>
      <c r="K350" s="881"/>
      <c r="L350" s="907" t="s">
        <v>479</v>
      </c>
      <c r="M350" s="907" t="s">
        <v>480</v>
      </c>
      <c r="N350" s="907" t="s">
        <v>478</v>
      </c>
      <c r="O350" s="907" t="s">
        <v>479</v>
      </c>
      <c r="P350" s="1138" t="s">
        <v>504</v>
      </c>
      <c r="Q350" s="881"/>
      <c r="R350" s="1037" t="s">
        <v>192</v>
      </c>
      <c r="S350" s="909" t="s">
        <v>505</v>
      </c>
      <c r="T350" s="910" t="s">
        <v>192</v>
      </c>
      <c r="U350" s="1139"/>
      <c r="V350" s="1101"/>
      <c r="W350" s="1101"/>
      <c r="X350" s="386"/>
      <c r="Y350" s="915" t="s">
        <v>303</v>
      </c>
      <c r="Z350" s="1127" t="s">
        <v>497</v>
      </c>
      <c r="AA350" s="1101" t="s">
        <v>498</v>
      </c>
      <c r="AB350" s="1101" t="s">
        <v>498</v>
      </c>
      <c r="AC350" s="1101" t="s">
        <v>495</v>
      </c>
      <c r="AD350" s="1048" t="s">
        <v>488</v>
      </c>
      <c r="AE350" s="1048" t="s">
        <v>489</v>
      </c>
      <c r="AF350" s="1101"/>
      <c r="AG350" s="1092" t="s">
        <v>297</v>
      </c>
      <c r="AH350" s="1091" t="s">
        <v>427</v>
      </c>
      <c r="AI350" s="916" t="s">
        <v>278</v>
      </c>
      <c r="AJ350" s="916" t="s">
        <v>279</v>
      </c>
      <c r="AK350" s="1059" t="s">
        <v>139</v>
      </c>
      <c r="AL350" s="1059" t="s">
        <v>204</v>
      </c>
      <c r="AM350" s="1058" t="s">
        <v>188</v>
      </c>
      <c r="AU350" s="410"/>
      <c r="AV350" s="410"/>
      <c r="AW350" s="725"/>
      <c r="AX350" s="726"/>
    </row>
    <row r="351" spans="3:50" ht="12.75" customHeight="1" x14ac:dyDescent="0.3">
      <c r="C351" s="125"/>
      <c r="D351" s="883"/>
      <c r="E351" s="877"/>
      <c r="F351" s="904" t="s">
        <v>138</v>
      </c>
      <c r="G351" s="905" t="s">
        <v>274</v>
      </c>
      <c r="H351" s="904"/>
      <c r="I351" s="904"/>
      <c r="J351" s="906" t="s">
        <v>277</v>
      </c>
      <c r="K351" s="881"/>
      <c r="L351" s="907" t="s">
        <v>482</v>
      </c>
      <c r="M351" s="907" t="s">
        <v>483</v>
      </c>
      <c r="N351" s="907" t="s">
        <v>481</v>
      </c>
      <c r="O351" s="907" t="s">
        <v>493</v>
      </c>
      <c r="P351" s="1138" t="s">
        <v>269</v>
      </c>
      <c r="Q351" s="881"/>
      <c r="R351" s="908" t="s">
        <v>506</v>
      </c>
      <c r="S351" s="909" t="s">
        <v>484</v>
      </c>
      <c r="T351" s="910" t="s">
        <v>269</v>
      </c>
      <c r="U351" s="887"/>
      <c r="V351" s="1063"/>
      <c r="W351" s="1063"/>
      <c r="X351" s="129"/>
      <c r="Y351" s="915" t="s">
        <v>197</v>
      </c>
      <c r="Z351" s="918">
        <f>tab!$B$50</f>
        <v>0.6</v>
      </c>
      <c r="AA351" s="1101" t="s">
        <v>499</v>
      </c>
      <c r="AB351" s="1101" t="s">
        <v>500</v>
      </c>
      <c r="AC351" s="1101" t="s">
        <v>501</v>
      </c>
      <c r="AD351" s="1048" t="s">
        <v>491</v>
      </c>
      <c r="AE351" s="1048" t="s">
        <v>491</v>
      </c>
      <c r="AG351" s="1092"/>
      <c r="AH351" s="1093" t="s">
        <v>224</v>
      </c>
      <c r="AI351" s="1048" t="s">
        <v>275</v>
      </c>
      <c r="AJ351" s="1048" t="s">
        <v>275</v>
      </c>
      <c r="AK351" s="1059"/>
      <c r="AL351" s="1059" t="s">
        <v>188</v>
      </c>
      <c r="AM351" s="1058"/>
      <c r="AU351" s="410"/>
      <c r="AV351" s="410"/>
      <c r="AX351" s="709"/>
    </row>
    <row r="352" spans="3:50" ht="12.75" customHeight="1" x14ac:dyDescent="0.3">
      <c r="C352" s="122"/>
      <c r="D352" s="883"/>
      <c r="E352" s="883"/>
      <c r="F352" s="946"/>
      <c r="G352" s="947"/>
      <c r="H352" s="904"/>
      <c r="I352" s="904"/>
      <c r="J352" s="906"/>
      <c r="K352" s="883"/>
      <c r="L352" s="907"/>
      <c r="M352" s="907"/>
      <c r="N352" s="907"/>
      <c r="O352" s="907"/>
      <c r="P352" s="907"/>
      <c r="Q352" s="883"/>
      <c r="R352" s="948"/>
      <c r="S352" s="909"/>
      <c r="T352" s="949"/>
      <c r="U352" s="443"/>
      <c r="V352" s="1063"/>
      <c r="W352" s="1063"/>
      <c r="Y352" s="915"/>
      <c r="Z352" s="1064"/>
      <c r="AA352" s="1064"/>
      <c r="AB352" s="1064"/>
      <c r="AC352" s="1064"/>
      <c r="AG352" s="1092"/>
      <c r="AH352" s="1093"/>
      <c r="AM352" s="1058"/>
      <c r="AU352" s="410"/>
      <c r="AV352" s="410"/>
      <c r="AX352" s="709"/>
    </row>
    <row r="353" spans="3:45" ht="12.75" customHeight="1" x14ac:dyDescent="0.3">
      <c r="C353" s="122"/>
      <c r="D353" s="388" t="str">
        <f>IF(op!D286=0,"",op!D286)</f>
        <v/>
      </c>
      <c r="E353" s="388" t="str">
        <f>IF(op!E286=0,"-",op!E286)</f>
        <v>nn</v>
      </c>
      <c r="F353" s="684" t="str">
        <f>IF(op!F286="","",op!F286+1)</f>
        <v/>
      </c>
      <c r="G353" s="710">
        <f>IF(op!G286="","",op!G286)</f>
        <v>28491</v>
      </c>
      <c r="H353" s="684" t="str">
        <f>IF(op!H286=0,"",op!H286)</f>
        <v>L11</v>
      </c>
      <c r="I353" s="389">
        <f>IF(J353="","",(IF(op!I286+1&gt;LOOKUP(H353,schaal2019,regels2019),op!I286,op!I286+1)))</f>
        <v>15</v>
      </c>
      <c r="J353" s="711">
        <f>IF(op!J286="","",op!J286)</f>
        <v>1</v>
      </c>
      <c r="K353" s="472"/>
      <c r="L353" s="1049">
        <f>IF(op!L286="","",op!L286)</f>
        <v>0</v>
      </c>
      <c r="M353" s="1049">
        <f>IF(op!M286="","",op!M286)</f>
        <v>0</v>
      </c>
      <c r="N353" s="1051">
        <f t="shared" ref="N353:N407" si="145">IF(J353="","",IF((J353*40)&gt;40,40,((J353*40))))</f>
        <v>40</v>
      </c>
      <c r="O353" s="1051">
        <f t="shared" ref="O353:O407" si="146">IF(J353="","",IF(I353&lt;4,(40*J353),0))</f>
        <v>0</v>
      </c>
      <c r="P353" s="1125">
        <f t="shared" ref="P353:P407" si="147">IF(J353="","",(SUM(L353:O353)))</f>
        <v>40</v>
      </c>
      <c r="Q353" s="472"/>
      <c r="R353" s="923">
        <f>IF(J353="","",(((1659*J353)-P353)*AB353))</f>
        <v>84953.877757685361</v>
      </c>
      <c r="S353" s="923">
        <f t="shared" ref="S353:S407" si="148">IF(J353="","",(P353*AC353)+(AA353*AD353)+((AE353*AA353*(1-AF353))))</f>
        <v>2098.9222423146475</v>
      </c>
      <c r="T353" s="925">
        <f t="shared" ref="T353:T407" si="149">IF(J353="","",(R353+S353))</f>
        <v>87052.800000000003</v>
      </c>
      <c r="U353" s="545"/>
      <c r="V353" s="1103"/>
      <c r="W353" s="1103"/>
      <c r="X353" s="1060"/>
      <c r="Y353" s="1095">
        <f t="shared" ref="Y353:Y384" si="150">ROUND(5/12*VLOOKUP(H353,salaris2021,I353+1,FALSE)+7/12*VLOOKUP(H353,salaris2021,I353+1,FALSE),0)</f>
        <v>4534</v>
      </c>
      <c r="Z353" s="1094">
        <f>tab!$B$50</f>
        <v>0.6</v>
      </c>
      <c r="AA353" s="1126">
        <f t="shared" ref="AA353:AA407" si="151">(Y353*12/1659)</f>
        <v>32.795660036166367</v>
      </c>
      <c r="AB353" s="1126">
        <f t="shared" ref="AB353:AB407" si="152">(Y353*12*(1+Z353))/1659</f>
        <v>52.473056057866188</v>
      </c>
      <c r="AC353" s="1126">
        <f t="shared" ref="AC353:AC407" si="153">AB353-AA353</f>
        <v>19.67739602169982</v>
      </c>
      <c r="AD353" s="1128">
        <f t="shared" ref="AD353:AD407" si="154">(N353+O353)</f>
        <v>40</v>
      </c>
      <c r="AE353" s="1128">
        <f t="shared" ref="AE353:AE407" si="155">(L353+M353)</f>
        <v>0</v>
      </c>
      <c r="AF353" s="1096">
        <f>IF(H353&gt;8,tab!$B$51,tab!$B$54)</f>
        <v>0.5</v>
      </c>
      <c r="AG353" s="1097">
        <f t="shared" ref="AG353:AG407" si="156">IF(F353&lt;25,0,IF(F353=25,25,IF(F353&lt;40,0,IF(F353=40,40,IF(F353&gt;=40,0)))))</f>
        <v>0</v>
      </c>
      <c r="AH353" s="1093">
        <f t="shared" ref="AH353:AH407" si="157">IF(AG353=25,(Y353*1.08*(J353)/2),IF(AG353=40,(Y353*1.08*(J353)),IF(AG353=0,0)))</f>
        <v>0</v>
      </c>
      <c r="AI353" s="1120" t="b">
        <f>DATE(YEAR(tab!$G$3),MONTH(G353),DAY(G353))&gt;tab!$G$3</f>
        <v>0</v>
      </c>
      <c r="AJ353" s="1097">
        <f>YEAR($E$346)-YEAR(G353)-AI353</f>
        <v>47</v>
      </c>
      <c r="AK353" s="1041">
        <f t="shared" ref="AK353:AK407" si="158">IF((G353=""),30,AJ353)</f>
        <v>47</v>
      </c>
      <c r="AL353" s="1041">
        <f t="shared" ref="AL353:AL407" si="159">IF((AK353)&gt;50,50,(AK353))</f>
        <v>47</v>
      </c>
      <c r="AM353" s="1047">
        <f t="shared" ref="AM353:AM407" si="160">(AL353*(SUM(J353:J353)))</f>
        <v>47</v>
      </c>
      <c r="AS353" s="727"/>
    </row>
    <row r="354" spans="3:45" ht="12.75" customHeight="1" x14ac:dyDescent="0.3">
      <c r="C354" s="122"/>
      <c r="D354" s="388" t="str">
        <f>IF(op!D287=0,"",op!D287)</f>
        <v/>
      </c>
      <c r="E354" s="388" t="str">
        <f>IF(op!E287=0,"-",op!E287)</f>
        <v/>
      </c>
      <c r="F354" s="684" t="str">
        <f>IF(op!F287="","",op!F287+1)</f>
        <v/>
      </c>
      <c r="G354" s="710" t="str">
        <f>IF(op!G287="","",op!G287)</f>
        <v/>
      </c>
      <c r="H354" s="684" t="str">
        <f>IF(op!H287=0,"",op!H287)</f>
        <v/>
      </c>
      <c r="I354" s="389" t="str">
        <f>IF(J354="","",(IF(op!I287+1&gt;LOOKUP(H354,schaal2019,regels2019),op!I287,op!I287+1)))</f>
        <v/>
      </c>
      <c r="J354" s="711" t="str">
        <f>IF(op!J287="","",op!J287)</f>
        <v/>
      </c>
      <c r="K354" s="472"/>
      <c r="L354" s="1049">
        <f>IF(op!L287="","",op!L287)</f>
        <v>0</v>
      </c>
      <c r="M354" s="1049">
        <f>IF(op!M287="","",op!M287)</f>
        <v>0</v>
      </c>
      <c r="N354" s="1051" t="str">
        <f t="shared" si="145"/>
        <v/>
      </c>
      <c r="O354" s="1051" t="str">
        <f t="shared" si="146"/>
        <v/>
      </c>
      <c r="P354" s="1125" t="str">
        <f t="shared" si="147"/>
        <v/>
      </c>
      <c r="Q354" s="472"/>
      <c r="R354" s="923" t="str">
        <f>IF(J354="","",(((1659*J354)-P354)*AB354))</f>
        <v/>
      </c>
      <c r="S354" s="923" t="str">
        <f t="shared" si="148"/>
        <v/>
      </c>
      <c r="T354" s="925" t="str">
        <f t="shared" si="149"/>
        <v/>
      </c>
      <c r="U354" s="545"/>
      <c r="V354" s="1103"/>
      <c r="W354" s="1103"/>
      <c r="X354" s="1060"/>
      <c r="Y354" s="1095" t="e">
        <f t="shared" si="150"/>
        <v>#VALUE!</v>
      </c>
      <c r="Z354" s="1094">
        <f>tab!$B$50</f>
        <v>0.6</v>
      </c>
      <c r="AA354" s="1126" t="e">
        <f t="shared" si="151"/>
        <v>#VALUE!</v>
      </c>
      <c r="AB354" s="1126" t="e">
        <f t="shared" si="152"/>
        <v>#VALUE!</v>
      </c>
      <c r="AC354" s="1126" t="e">
        <f t="shared" si="153"/>
        <v>#VALUE!</v>
      </c>
      <c r="AD354" s="1128" t="e">
        <f t="shared" si="154"/>
        <v>#VALUE!</v>
      </c>
      <c r="AE354" s="1128">
        <f t="shared" si="155"/>
        <v>0</v>
      </c>
      <c r="AF354" s="1096">
        <f>IF(H354&gt;8,tab!$B$51,tab!$B$54)</f>
        <v>0.5</v>
      </c>
      <c r="AG354" s="1097">
        <f t="shared" si="156"/>
        <v>0</v>
      </c>
      <c r="AH354" s="1093">
        <f t="shared" si="157"/>
        <v>0</v>
      </c>
      <c r="AI354" s="1120" t="e">
        <f>DATE(YEAR(tab!$G$3),MONTH(G354),DAY(G354))&gt;tab!$G$3</f>
        <v>#VALUE!</v>
      </c>
      <c r="AJ354" s="1097" t="e">
        <f t="shared" ref="AJ354:AJ407" si="161">YEAR($E$346)-YEAR(G354)-AI354</f>
        <v>#VALUE!</v>
      </c>
      <c r="AK354" s="1041">
        <f t="shared" si="158"/>
        <v>30</v>
      </c>
      <c r="AL354" s="1041">
        <f t="shared" si="159"/>
        <v>30</v>
      </c>
      <c r="AM354" s="1047">
        <f t="shared" si="160"/>
        <v>0</v>
      </c>
      <c r="AS354" s="727"/>
    </row>
    <row r="355" spans="3:45" ht="12.75" customHeight="1" x14ac:dyDescent="0.3">
      <c r="C355" s="122"/>
      <c r="D355" s="388" t="str">
        <f>IF(op!D288=0,"",op!D288)</f>
        <v/>
      </c>
      <c r="E355" s="388" t="str">
        <f>IF(op!E288=0,"-",op!E288)</f>
        <v/>
      </c>
      <c r="F355" s="684" t="str">
        <f>IF(op!F288="","",op!F288+1)</f>
        <v/>
      </c>
      <c r="G355" s="710" t="str">
        <f>IF(op!G288="","",op!G288)</f>
        <v/>
      </c>
      <c r="H355" s="684" t="str">
        <f>IF(op!H288=0,"",op!H288)</f>
        <v/>
      </c>
      <c r="I355" s="389" t="str">
        <f>IF(J355="","",(IF(op!I288+1&gt;LOOKUP(H355,schaal2019,regels2019),op!I288,op!I288+1)))</f>
        <v/>
      </c>
      <c r="J355" s="711" t="str">
        <f>IF(op!J288="","",op!J288)</f>
        <v/>
      </c>
      <c r="K355" s="472"/>
      <c r="L355" s="1049">
        <f>IF(op!L288="","",op!L288)</f>
        <v>0</v>
      </c>
      <c r="M355" s="1049">
        <f>IF(op!M288="","",op!M288)</f>
        <v>0</v>
      </c>
      <c r="N355" s="1051" t="str">
        <f t="shared" si="145"/>
        <v/>
      </c>
      <c r="O355" s="1051" t="str">
        <f t="shared" si="146"/>
        <v/>
      </c>
      <c r="P355" s="1125" t="str">
        <f t="shared" si="147"/>
        <v/>
      </c>
      <c r="Q355" s="472"/>
      <c r="R355" s="923" t="str">
        <f t="shared" ref="R355:R407" si="162">IF(J355="","",(((1659*J355)-P355)*AB355))</f>
        <v/>
      </c>
      <c r="S355" s="923" t="str">
        <f t="shared" si="148"/>
        <v/>
      </c>
      <c r="T355" s="925" t="str">
        <f t="shared" si="149"/>
        <v/>
      </c>
      <c r="U355" s="545"/>
      <c r="V355" s="1103"/>
      <c r="W355" s="1103"/>
      <c r="X355" s="1060"/>
      <c r="Y355" s="1095" t="e">
        <f t="shared" si="150"/>
        <v>#VALUE!</v>
      </c>
      <c r="Z355" s="1094">
        <f>tab!$B$50</f>
        <v>0.6</v>
      </c>
      <c r="AA355" s="1126" t="e">
        <f t="shared" si="151"/>
        <v>#VALUE!</v>
      </c>
      <c r="AB355" s="1126" t="e">
        <f t="shared" si="152"/>
        <v>#VALUE!</v>
      </c>
      <c r="AC355" s="1126" t="e">
        <f t="shared" si="153"/>
        <v>#VALUE!</v>
      </c>
      <c r="AD355" s="1128" t="e">
        <f t="shared" si="154"/>
        <v>#VALUE!</v>
      </c>
      <c r="AE355" s="1128">
        <f t="shared" si="155"/>
        <v>0</v>
      </c>
      <c r="AF355" s="1096">
        <f>IF(H355&gt;8,tab!$B$51,tab!$B$54)</f>
        <v>0.5</v>
      </c>
      <c r="AG355" s="1097">
        <f t="shared" si="156"/>
        <v>0</v>
      </c>
      <c r="AH355" s="1093">
        <f t="shared" si="157"/>
        <v>0</v>
      </c>
      <c r="AI355" s="1120" t="e">
        <f>DATE(YEAR(tab!$G$3),MONTH(G355),DAY(G355))&gt;tab!$G$3</f>
        <v>#VALUE!</v>
      </c>
      <c r="AJ355" s="1097" t="e">
        <f t="shared" si="161"/>
        <v>#VALUE!</v>
      </c>
      <c r="AK355" s="1041">
        <f t="shared" si="158"/>
        <v>30</v>
      </c>
      <c r="AL355" s="1041">
        <f t="shared" si="159"/>
        <v>30</v>
      </c>
      <c r="AM355" s="1047">
        <f t="shared" si="160"/>
        <v>0</v>
      </c>
      <c r="AS355" s="727"/>
    </row>
    <row r="356" spans="3:45" ht="12.75" customHeight="1" x14ac:dyDescent="0.3">
      <c r="C356" s="122"/>
      <c r="D356" s="388" t="str">
        <f>IF(op!D289=0,"",op!D289)</f>
        <v/>
      </c>
      <c r="E356" s="388" t="str">
        <f>IF(op!E289=0,"-",op!E289)</f>
        <v/>
      </c>
      <c r="F356" s="684" t="str">
        <f>IF(op!F289="","",op!F289+1)</f>
        <v/>
      </c>
      <c r="G356" s="710" t="str">
        <f>IF(op!G289="","",op!G289)</f>
        <v/>
      </c>
      <c r="H356" s="684" t="str">
        <f>IF(op!H289=0,"",op!H289)</f>
        <v/>
      </c>
      <c r="I356" s="389" t="str">
        <f>IF(J356="","",(IF(op!I289+1&gt;LOOKUP(H356,schaal2019,regels2019),op!I289,op!I289+1)))</f>
        <v/>
      </c>
      <c r="J356" s="711" t="str">
        <f>IF(op!J289="","",op!J289)</f>
        <v/>
      </c>
      <c r="K356" s="472"/>
      <c r="L356" s="1049">
        <f>IF(op!L289="","",op!L289)</f>
        <v>0</v>
      </c>
      <c r="M356" s="1049">
        <f>IF(op!M289="","",op!M289)</f>
        <v>0</v>
      </c>
      <c r="N356" s="1051" t="str">
        <f t="shared" si="145"/>
        <v/>
      </c>
      <c r="O356" s="1051" t="str">
        <f t="shared" si="146"/>
        <v/>
      </c>
      <c r="P356" s="1125" t="str">
        <f t="shared" si="147"/>
        <v/>
      </c>
      <c r="Q356" s="472"/>
      <c r="R356" s="923" t="str">
        <f t="shared" si="162"/>
        <v/>
      </c>
      <c r="S356" s="923" t="str">
        <f t="shared" si="148"/>
        <v/>
      </c>
      <c r="T356" s="925" t="str">
        <f t="shared" si="149"/>
        <v/>
      </c>
      <c r="U356" s="545"/>
      <c r="V356" s="1103"/>
      <c r="W356" s="1103"/>
      <c r="X356" s="1060"/>
      <c r="Y356" s="1095" t="e">
        <f t="shared" si="150"/>
        <v>#VALUE!</v>
      </c>
      <c r="Z356" s="1094">
        <f>tab!$B$50</f>
        <v>0.6</v>
      </c>
      <c r="AA356" s="1126" t="e">
        <f t="shared" si="151"/>
        <v>#VALUE!</v>
      </c>
      <c r="AB356" s="1126" t="e">
        <f t="shared" si="152"/>
        <v>#VALUE!</v>
      </c>
      <c r="AC356" s="1126" t="e">
        <f t="shared" si="153"/>
        <v>#VALUE!</v>
      </c>
      <c r="AD356" s="1128" t="e">
        <f t="shared" si="154"/>
        <v>#VALUE!</v>
      </c>
      <c r="AE356" s="1128">
        <f t="shared" si="155"/>
        <v>0</v>
      </c>
      <c r="AF356" s="1096">
        <f>IF(H356&gt;8,tab!$B$51,tab!$B$54)</f>
        <v>0.5</v>
      </c>
      <c r="AG356" s="1097">
        <f t="shared" si="156"/>
        <v>0</v>
      </c>
      <c r="AH356" s="1093">
        <f t="shared" si="157"/>
        <v>0</v>
      </c>
      <c r="AI356" s="1120" t="e">
        <f>DATE(YEAR(tab!$G$3),MONTH(G356),DAY(G356))&gt;tab!$G$3</f>
        <v>#VALUE!</v>
      </c>
      <c r="AJ356" s="1097" t="e">
        <f t="shared" si="161"/>
        <v>#VALUE!</v>
      </c>
      <c r="AK356" s="1041">
        <f t="shared" si="158"/>
        <v>30</v>
      </c>
      <c r="AL356" s="1041">
        <f t="shared" si="159"/>
        <v>30</v>
      </c>
      <c r="AM356" s="1047">
        <f t="shared" si="160"/>
        <v>0</v>
      </c>
      <c r="AS356" s="727"/>
    </row>
    <row r="357" spans="3:45" ht="12.75" customHeight="1" x14ac:dyDescent="0.3">
      <c r="C357" s="122"/>
      <c r="D357" s="388" t="str">
        <f>IF(op!D290=0,"",op!D290)</f>
        <v/>
      </c>
      <c r="E357" s="388" t="str">
        <f>IF(op!E290=0,"-",op!E290)</f>
        <v/>
      </c>
      <c r="F357" s="684" t="str">
        <f>IF(op!F290="","",op!F290+1)</f>
        <v/>
      </c>
      <c r="G357" s="710" t="str">
        <f>IF(op!G290="","",op!G290)</f>
        <v/>
      </c>
      <c r="H357" s="684" t="str">
        <f>IF(op!H290=0,"",op!H290)</f>
        <v/>
      </c>
      <c r="I357" s="389" t="str">
        <f>IF(J357="","",(IF(op!I290+1&gt;LOOKUP(H357,schaal2019,regels2019),op!I290,op!I290+1)))</f>
        <v/>
      </c>
      <c r="J357" s="711" t="str">
        <f>IF(op!J290="","",op!J290)</f>
        <v/>
      </c>
      <c r="K357" s="472"/>
      <c r="L357" s="1049">
        <f>IF(op!L290="","",op!L290)</f>
        <v>0</v>
      </c>
      <c r="M357" s="1049">
        <f>IF(op!M290="","",op!M290)</f>
        <v>0</v>
      </c>
      <c r="N357" s="1051" t="str">
        <f t="shared" si="145"/>
        <v/>
      </c>
      <c r="O357" s="1051" t="str">
        <f t="shared" si="146"/>
        <v/>
      </c>
      <c r="P357" s="1125" t="str">
        <f t="shared" si="147"/>
        <v/>
      </c>
      <c r="Q357" s="472"/>
      <c r="R357" s="923" t="str">
        <f t="shared" si="162"/>
        <v/>
      </c>
      <c r="S357" s="923" t="str">
        <f t="shared" si="148"/>
        <v/>
      </c>
      <c r="T357" s="925" t="str">
        <f t="shared" si="149"/>
        <v/>
      </c>
      <c r="U357" s="545"/>
      <c r="V357" s="1103"/>
      <c r="W357" s="1103"/>
      <c r="X357" s="1060"/>
      <c r="Y357" s="1095" t="e">
        <f t="shared" si="150"/>
        <v>#VALUE!</v>
      </c>
      <c r="Z357" s="1094">
        <f>tab!$B$50</f>
        <v>0.6</v>
      </c>
      <c r="AA357" s="1126" t="e">
        <f t="shared" si="151"/>
        <v>#VALUE!</v>
      </c>
      <c r="AB357" s="1126" t="e">
        <f t="shared" si="152"/>
        <v>#VALUE!</v>
      </c>
      <c r="AC357" s="1126" t="e">
        <f t="shared" si="153"/>
        <v>#VALUE!</v>
      </c>
      <c r="AD357" s="1128" t="e">
        <f t="shared" si="154"/>
        <v>#VALUE!</v>
      </c>
      <c r="AE357" s="1128">
        <f t="shared" si="155"/>
        <v>0</v>
      </c>
      <c r="AF357" s="1096">
        <f>IF(H357&gt;8,tab!$B$51,tab!$B$54)</f>
        <v>0.5</v>
      </c>
      <c r="AG357" s="1097">
        <f t="shared" si="156"/>
        <v>0</v>
      </c>
      <c r="AH357" s="1093">
        <f t="shared" si="157"/>
        <v>0</v>
      </c>
      <c r="AI357" s="1120" t="e">
        <f>DATE(YEAR(tab!$G$3),MONTH(G357),DAY(G357))&gt;tab!$G$3</f>
        <v>#VALUE!</v>
      </c>
      <c r="AJ357" s="1097" t="e">
        <f t="shared" si="161"/>
        <v>#VALUE!</v>
      </c>
      <c r="AK357" s="1041">
        <f t="shared" si="158"/>
        <v>30</v>
      </c>
      <c r="AL357" s="1041">
        <f t="shared" si="159"/>
        <v>30</v>
      </c>
      <c r="AM357" s="1047">
        <f t="shared" si="160"/>
        <v>0</v>
      </c>
      <c r="AS357" s="727"/>
    </row>
    <row r="358" spans="3:45" ht="12.75" customHeight="1" x14ac:dyDescent="0.3">
      <c r="C358" s="122"/>
      <c r="D358" s="388" t="str">
        <f>IF(op!D291=0,"",op!D291)</f>
        <v/>
      </c>
      <c r="E358" s="388" t="str">
        <f>IF(op!E291=0,"-",op!E291)</f>
        <v/>
      </c>
      <c r="F358" s="684" t="str">
        <f>IF(op!F291="","",op!F291+1)</f>
        <v/>
      </c>
      <c r="G358" s="710" t="str">
        <f>IF(op!G291="","",op!G291)</f>
        <v/>
      </c>
      <c r="H358" s="684" t="str">
        <f>IF(op!H291=0,"",op!H291)</f>
        <v/>
      </c>
      <c r="I358" s="389" t="str">
        <f>IF(J358="","",(IF(op!I291+1&gt;LOOKUP(H358,schaal2019,regels2019),op!I291,op!I291+1)))</f>
        <v/>
      </c>
      <c r="J358" s="711" t="str">
        <f>IF(op!J291="","",op!J291)</f>
        <v/>
      </c>
      <c r="K358" s="472"/>
      <c r="L358" s="1049">
        <f>IF(op!L291="","",op!L291)</f>
        <v>0</v>
      </c>
      <c r="M358" s="1049">
        <f>IF(op!M291="","",op!M291)</f>
        <v>0</v>
      </c>
      <c r="N358" s="1051" t="str">
        <f t="shared" si="145"/>
        <v/>
      </c>
      <c r="O358" s="1051" t="str">
        <f t="shared" si="146"/>
        <v/>
      </c>
      <c r="P358" s="1125" t="str">
        <f t="shared" si="147"/>
        <v/>
      </c>
      <c r="Q358" s="472"/>
      <c r="R358" s="923" t="str">
        <f t="shared" si="162"/>
        <v/>
      </c>
      <c r="S358" s="923" t="str">
        <f t="shared" si="148"/>
        <v/>
      </c>
      <c r="T358" s="925" t="str">
        <f t="shared" si="149"/>
        <v/>
      </c>
      <c r="U358" s="545"/>
      <c r="V358" s="1103"/>
      <c r="W358" s="1103"/>
      <c r="X358" s="1060"/>
      <c r="Y358" s="1095" t="e">
        <f t="shared" si="150"/>
        <v>#VALUE!</v>
      </c>
      <c r="Z358" s="1094">
        <f>tab!$B$50</f>
        <v>0.6</v>
      </c>
      <c r="AA358" s="1126" t="e">
        <f t="shared" si="151"/>
        <v>#VALUE!</v>
      </c>
      <c r="AB358" s="1126" t="e">
        <f t="shared" si="152"/>
        <v>#VALUE!</v>
      </c>
      <c r="AC358" s="1126" t="e">
        <f t="shared" si="153"/>
        <v>#VALUE!</v>
      </c>
      <c r="AD358" s="1128" t="e">
        <f t="shared" si="154"/>
        <v>#VALUE!</v>
      </c>
      <c r="AE358" s="1128">
        <f t="shared" si="155"/>
        <v>0</v>
      </c>
      <c r="AF358" s="1096">
        <f>IF(H358&gt;8,tab!$B$51,tab!$B$54)</f>
        <v>0.5</v>
      </c>
      <c r="AG358" s="1097">
        <f t="shared" si="156"/>
        <v>0</v>
      </c>
      <c r="AH358" s="1093">
        <f t="shared" si="157"/>
        <v>0</v>
      </c>
      <c r="AI358" s="1120" t="e">
        <f>DATE(YEAR(tab!$G$3),MONTH(G358),DAY(G358))&gt;tab!$G$3</f>
        <v>#VALUE!</v>
      </c>
      <c r="AJ358" s="1097" t="e">
        <f t="shared" si="161"/>
        <v>#VALUE!</v>
      </c>
      <c r="AK358" s="1041">
        <f t="shared" si="158"/>
        <v>30</v>
      </c>
      <c r="AL358" s="1041">
        <f t="shared" si="159"/>
        <v>30</v>
      </c>
      <c r="AM358" s="1047">
        <f t="shared" si="160"/>
        <v>0</v>
      </c>
      <c r="AS358" s="727"/>
    </row>
    <row r="359" spans="3:45" ht="12.75" customHeight="1" x14ac:dyDescent="0.3">
      <c r="C359" s="122"/>
      <c r="D359" s="388" t="str">
        <f>IF(op!D292=0,"",op!D292)</f>
        <v/>
      </c>
      <c r="E359" s="388" t="str">
        <f>IF(op!E292=0,"-",op!E292)</f>
        <v/>
      </c>
      <c r="F359" s="684" t="str">
        <f>IF(op!F292="","",op!F292+1)</f>
        <v/>
      </c>
      <c r="G359" s="710" t="str">
        <f>IF(op!G292="","",op!G292)</f>
        <v/>
      </c>
      <c r="H359" s="684" t="str">
        <f>IF(op!H292=0,"",op!H292)</f>
        <v/>
      </c>
      <c r="I359" s="389" t="str">
        <f>IF(J359="","",(IF(op!I292+1&gt;LOOKUP(H359,schaal2019,regels2019),op!I292,op!I292+1)))</f>
        <v/>
      </c>
      <c r="J359" s="711" t="str">
        <f>IF(op!J292="","",op!J292)</f>
        <v/>
      </c>
      <c r="K359" s="472"/>
      <c r="L359" s="1049">
        <f>IF(op!L292="","",op!L292)</f>
        <v>0</v>
      </c>
      <c r="M359" s="1049">
        <f>IF(op!M292="","",op!M292)</f>
        <v>0</v>
      </c>
      <c r="N359" s="1051" t="str">
        <f t="shared" si="145"/>
        <v/>
      </c>
      <c r="O359" s="1051" t="str">
        <f t="shared" si="146"/>
        <v/>
      </c>
      <c r="P359" s="1125" t="str">
        <f t="shared" si="147"/>
        <v/>
      </c>
      <c r="Q359" s="472"/>
      <c r="R359" s="923" t="str">
        <f t="shared" si="162"/>
        <v/>
      </c>
      <c r="S359" s="923" t="str">
        <f t="shared" si="148"/>
        <v/>
      </c>
      <c r="T359" s="925" t="str">
        <f t="shared" si="149"/>
        <v/>
      </c>
      <c r="U359" s="545"/>
      <c r="V359" s="1103"/>
      <c r="W359" s="1103"/>
      <c r="X359" s="1060"/>
      <c r="Y359" s="1095" t="e">
        <f t="shared" si="150"/>
        <v>#VALUE!</v>
      </c>
      <c r="Z359" s="1094">
        <f>tab!$B$50</f>
        <v>0.6</v>
      </c>
      <c r="AA359" s="1126" t="e">
        <f t="shared" si="151"/>
        <v>#VALUE!</v>
      </c>
      <c r="AB359" s="1126" t="e">
        <f t="shared" si="152"/>
        <v>#VALUE!</v>
      </c>
      <c r="AC359" s="1126" t="e">
        <f t="shared" si="153"/>
        <v>#VALUE!</v>
      </c>
      <c r="AD359" s="1128" t="e">
        <f t="shared" si="154"/>
        <v>#VALUE!</v>
      </c>
      <c r="AE359" s="1128">
        <f t="shared" si="155"/>
        <v>0</v>
      </c>
      <c r="AF359" s="1096">
        <f>IF(H359&gt;8,tab!$B$51,tab!$B$54)</f>
        <v>0.5</v>
      </c>
      <c r="AG359" s="1097">
        <f t="shared" si="156"/>
        <v>0</v>
      </c>
      <c r="AH359" s="1093">
        <f t="shared" si="157"/>
        <v>0</v>
      </c>
      <c r="AI359" s="1120" t="e">
        <f>DATE(YEAR(tab!$G$3),MONTH(G359),DAY(G359))&gt;tab!$G$3</f>
        <v>#VALUE!</v>
      </c>
      <c r="AJ359" s="1097" t="e">
        <f t="shared" si="161"/>
        <v>#VALUE!</v>
      </c>
      <c r="AK359" s="1041">
        <f t="shared" si="158"/>
        <v>30</v>
      </c>
      <c r="AL359" s="1041">
        <f t="shared" si="159"/>
        <v>30</v>
      </c>
      <c r="AM359" s="1047">
        <f t="shared" si="160"/>
        <v>0</v>
      </c>
      <c r="AS359" s="727"/>
    </row>
    <row r="360" spans="3:45" ht="12.75" customHeight="1" x14ac:dyDescent="0.3">
      <c r="C360" s="122"/>
      <c r="D360" s="388" t="str">
        <f>IF(op!D293=0,"",op!D293)</f>
        <v/>
      </c>
      <c r="E360" s="388" t="str">
        <f>IF(op!E293=0,"-",op!E293)</f>
        <v/>
      </c>
      <c r="F360" s="684" t="str">
        <f>IF(op!F293="","",op!F293+1)</f>
        <v/>
      </c>
      <c r="G360" s="710" t="str">
        <f>IF(op!G293="","",op!G293)</f>
        <v/>
      </c>
      <c r="H360" s="684" t="str">
        <f>IF(op!H293=0,"",op!H293)</f>
        <v/>
      </c>
      <c r="I360" s="389" t="str">
        <f>IF(J360="","",(IF(op!I293+1&gt;LOOKUP(H360,schaal2019,regels2019),op!I293,op!I293+1)))</f>
        <v/>
      </c>
      <c r="J360" s="711" t="str">
        <f>IF(op!J293="","",op!J293)</f>
        <v/>
      </c>
      <c r="K360" s="472"/>
      <c r="L360" s="1049">
        <f>IF(op!L293="","",op!L293)</f>
        <v>0</v>
      </c>
      <c r="M360" s="1049">
        <f>IF(op!M293="","",op!M293)</f>
        <v>0</v>
      </c>
      <c r="N360" s="1051" t="str">
        <f t="shared" si="145"/>
        <v/>
      </c>
      <c r="O360" s="1051" t="str">
        <f t="shared" si="146"/>
        <v/>
      </c>
      <c r="P360" s="1125" t="str">
        <f t="shared" si="147"/>
        <v/>
      </c>
      <c r="Q360" s="472"/>
      <c r="R360" s="923" t="str">
        <f t="shared" si="162"/>
        <v/>
      </c>
      <c r="S360" s="923" t="str">
        <f t="shared" si="148"/>
        <v/>
      </c>
      <c r="T360" s="925" t="str">
        <f t="shared" si="149"/>
        <v/>
      </c>
      <c r="U360" s="545"/>
      <c r="V360" s="1103"/>
      <c r="W360" s="1103"/>
      <c r="X360" s="1060"/>
      <c r="Y360" s="1095" t="e">
        <f t="shared" si="150"/>
        <v>#VALUE!</v>
      </c>
      <c r="Z360" s="1094">
        <f>tab!$B$50</f>
        <v>0.6</v>
      </c>
      <c r="AA360" s="1126" t="e">
        <f t="shared" si="151"/>
        <v>#VALUE!</v>
      </c>
      <c r="AB360" s="1126" t="e">
        <f t="shared" si="152"/>
        <v>#VALUE!</v>
      </c>
      <c r="AC360" s="1126" t="e">
        <f t="shared" si="153"/>
        <v>#VALUE!</v>
      </c>
      <c r="AD360" s="1128" t="e">
        <f t="shared" si="154"/>
        <v>#VALUE!</v>
      </c>
      <c r="AE360" s="1128">
        <f t="shared" si="155"/>
        <v>0</v>
      </c>
      <c r="AF360" s="1096">
        <f>IF(H360&gt;8,tab!$B$51,tab!$B$54)</f>
        <v>0.5</v>
      </c>
      <c r="AG360" s="1097">
        <f t="shared" si="156"/>
        <v>0</v>
      </c>
      <c r="AH360" s="1093">
        <f t="shared" si="157"/>
        <v>0</v>
      </c>
      <c r="AI360" s="1120" t="e">
        <f>DATE(YEAR(tab!$G$3),MONTH(G360),DAY(G360))&gt;tab!$G$3</f>
        <v>#VALUE!</v>
      </c>
      <c r="AJ360" s="1097" t="e">
        <f t="shared" si="161"/>
        <v>#VALUE!</v>
      </c>
      <c r="AK360" s="1041">
        <f t="shared" si="158"/>
        <v>30</v>
      </c>
      <c r="AL360" s="1041">
        <f t="shared" si="159"/>
        <v>30</v>
      </c>
      <c r="AM360" s="1047">
        <f t="shared" si="160"/>
        <v>0</v>
      </c>
      <c r="AS360" s="727"/>
    </row>
    <row r="361" spans="3:45" ht="12.75" customHeight="1" x14ac:dyDescent="0.3">
      <c r="C361" s="122"/>
      <c r="D361" s="388" t="str">
        <f>IF(op!D294=0,"",op!D294)</f>
        <v/>
      </c>
      <c r="E361" s="388" t="str">
        <f>IF(op!E294=0,"-",op!E294)</f>
        <v/>
      </c>
      <c r="F361" s="684" t="str">
        <f>IF(op!F294="","",op!F294+1)</f>
        <v/>
      </c>
      <c r="G361" s="710" t="str">
        <f>IF(op!G294="","",op!G294)</f>
        <v/>
      </c>
      <c r="H361" s="684" t="str">
        <f>IF(op!H294=0,"",op!H294)</f>
        <v/>
      </c>
      <c r="I361" s="389" t="str">
        <f>IF(J361="","",(IF(op!I294+1&gt;LOOKUP(H361,schaal2019,regels2019),op!I294,op!I294+1)))</f>
        <v/>
      </c>
      <c r="J361" s="711" t="str">
        <f>IF(op!J294="","",op!J294)</f>
        <v/>
      </c>
      <c r="K361" s="472"/>
      <c r="L361" s="1049">
        <f>IF(op!L294="","",op!L294)</f>
        <v>0</v>
      </c>
      <c r="M361" s="1049">
        <f>IF(op!M294="","",op!M294)</f>
        <v>0</v>
      </c>
      <c r="N361" s="1051" t="str">
        <f t="shared" si="145"/>
        <v/>
      </c>
      <c r="O361" s="1051" t="str">
        <f t="shared" si="146"/>
        <v/>
      </c>
      <c r="P361" s="1125" t="str">
        <f t="shared" si="147"/>
        <v/>
      </c>
      <c r="Q361" s="472"/>
      <c r="R361" s="923" t="str">
        <f t="shared" si="162"/>
        <v/>
      </c>
      <c r="S361" s="923" t="str">
        <f t="shared" si="148"/>
        <v/>
      </c>
      <c r="T361" s="925" t="str">
        <f t="shared" si="149"/>
        <v/>
      </c>
      <c r="U361" s="545"/>
      <c r="V361" s="1103"/>
      <c r="W361" s="1103"/>
      <c r="X361" s="1060"/>
      <c r="Y361" s="1095" t="e">
        <f t="shared" si="150"/>
        <v>#VALUE!</v>
      </c>
      <c r="Z361" s="1094">
        <f>tab!$B$50</f>
        <v>0.6</v>
      </c>
      <c r="AA361" s="1126" t="e">
        <f t="shared" si="151"/>
        <v>#VALUE!</v>
      </c>
      <c r="AB361" s="1126" t="e">
        <f t="shared" si="152"/>
        <v>#VALUE!</v>
      </c>
      <c r="AC361" s="1126" t="e">
        <f t="shared" si="153"/>
        <v>#VALUE!</v>
      </c>
      <c r="AD361" s="1128" t="e">
        <f t="shared" si="154"/>
        <v>#VALUE!</v>
      </c>
      <c r="AE361" s="1128">
        <f t="shared" si="155"/>
        <v>0</v>
      </c>
      <c r="AF361" s="1096">
        <f>IF(H361&gt;8,tab!$B$51,tab!$B$54)</f>
        <v>0.5</v>
      </c>
      <c r="AG361" s="1097">
        <f t="shared" si="156"/>
        <v>0</v>
      </c>
      <c r="AH361" s="1093">
        <f t="shared" si="157"/>
        <v>0</v>
      </c>
      <c r="AI361" s="1120" t="e">
        <f>DATE(YEAR(tab!$G$3),MONTH(G361),DAY(G361))&gt;tab!$G$3</f>
        <v>#VALUE!</v>
      </c>
      <c r="AJ361" s="1097" t="e">
        <f t="shared" si="161"/>
        <v>#VALUE!</v>
      </c>
      <c r="AK361" s="1041">
        <f t="shared" si="158"/>
        <v>30</v>
      </c>
      <c r="AL361" s="1041">
        <f t="shared" si="159"/>
        <v>30</v>
      </c>
      <c r="AM361" s="1047">
        <f t="shared" si="160"/>
        <v>0</v>
      </c>
      <c r="AS361" s="727"/>
    </row>
    <row r="362" spans="3:45" ht="12.75" customHeight="1" x14ac:dyDescent="0.3">
      <c r="C362" s="122"/>
      <c r="D362" s="388" t="str">
        <f>IF(op!D295=0,"",op!D295)</f>
        <v/>
      </c>
      <c r="E362" s="388" t="str">
        <f>IF(op!E295=0,"-",op!E295)</f>
        <v/>
      </c>
      <c r="F362" s="684" t="str">
        <f>IF(op!F295="","",op!F295+1)</f>
        <v/>
      </c>
      <c r="G362" s="710" t="str">
        <f>IF(op!G295="","",op!G295)</f>
        <v/>
      </c>
      <c r="H362" s="684" t="str">
        <f>IF(op!H295=0,"",op!H295)</f>
        <v/>
      </c>
      <c r="I362" s="389" t="str">
        <f>IF(J362="","",(IF(op!I295+1&gt;LOOKUP(H362,schaal2019,regels2019),op!I295,op!I295+1)))</f>
        <v/>
      </c>
      <c r="J362" s="711" t="str">
        <f>IF(op!J295="","",op!J295)</f>
        <v/>
      </c>
      <c r="K362" s="472"/>
      <c r="L362" s="1049">
        <f>IF(op!L295="","",op!L295)</f>
        <v>0</v>
      </c>
      <c r="M362" s="1049">
        <f>IF(op!M295="","",op!M295)</f>
        <v>0</v>
      </c>
      <c r="N362" s="1051" t="str">
        <f t="shared" si="145"/>
        <v/>
      </c>
      <c r="O362" s="1051" t="str">
        <f t="shared" si="146"/>
        <v/>
      </c>
      <c r="P362" s="1125" t="str">
        <f t="shared" si="147"/>
        <v/>
      </c>
      <c r="Q362" s="472"/>
      <c r="R362" s="923" t="str">
        <f t="shared" si="162"/>
        <v/>
      </c>
      <c r="S362" s="923" t="str">
        <f t="shared" si="148"/>
        <v/>
      </c>
      <c r="T362" s="925" t="str">
        <f t="shared" si="149"/>
        <v/>
      </c>
      <c r="U362" s="545"/>
      <c r="V362" s="1103"/>
      <c r="W362" s="1103"/>
      <c r="X362" s="1060"/>
      <c r="Y362" s="1095" t="e">
        <f t="shared" si="150"/>
        <v>#VALUE!</v>
      </c>
      <c r="Z362" s="1094">
        <f>tab!$B$50</f>
        <v>0.6</v>
      </c>
      <c r="AA362" s="1126" t="e">
        <f t="shared" si="151"/>
        <v>#VALUE!</v>
      </c>
      <c r="AB362" s="1126" t="e">
        <f t="shared" si="152"/>
        <v>#VALUE!</v>
      </c>
      <c r="AC362" s="1126" t="e">
        <f t="shared" si="153"/>
        <v>#VALUE!</v>
      </c>
      <c r="AD362" s="1128" t="e">
        <f t="shared" si="154"/>
        <v>#VALUE!</v>
      </c>
      <c r="AE362" s="1128">
        <f t="shared" si="155"/>
        <v>0</v>
      </c>
      <c r="AF362" s="1096">
        <f>IF(H362&gt;8,tab!$B$51,tab!$B$54)</f>
        <v>0.5</v>
      </c>
      <c r="AG362" s="1097">
        <f t="shared" si="156"/>
        <v>0</v>
      </c>
      <c r="AH362" s="1093">
        <f t="shared" si="157"/>
        <v>0</v>
      </c>
      <c r="AI362" s="1120" t="e">
        <f>DATE(YEAR(tab!$G$3),MONTH(G362),DAY(G362))&gt;tab!$G$3</f>
        <v>#VALUE!</v>
      </c>
      <c r="AJ362" s="1097" t="e">
        <f t="shared" si="161"/>
        <v>#VALUE!</v>
      </c>
      <c r="AK362" s="1041">
        <f t="shared" si="158"/>
        <v>30</v>
      </c>
      <c r="AL362" s="1041">
        <f t="shared" si="159"/>
        <v>30</v>
      </c>
      <c r="AM362" s="1047">
        <f t="shared" si="160"/>
        <v>0</v>
      </c>
      <c r="AS362" s="727"/>
    </row>
    <row r="363" spans="3:45" ht="12.75" customHeight="1" x14ac:dyDescent="0.3">
      <c r="C363" s="122"/>
      <c r="D363" s="388" t="str">
        <f>IF(op!D296=0,"",op!D296)</f>
        <v/>
      </c>
      <c r="E363" s="388" t="str">
        <f>IF(op!E296=0,"-",op!E296)</f>
        <v/>
      </c>
      <c r="F363" s="684" t="str">
        <f>IF(op!F296="","",op!F296+1)</f>
        <v/>
      </c>
      <c r="G363" s="710" t="str">
        <f>IF(op!G296="","",op!G296)</f>
        <v/>
      </c>
      <c r="H363" s="684" t="str">
        <f>IF(op!H296=0,"",op!H296)</f>
        <v/>
      </c>
      <c r="I363" s="389" t="str">
        <f>IF(J363="","",(IF(op!I296+1&gt;LOOKUP(H363,schaal2019,regels2019),op!I296,op!I296+1)))</f>
        <v/>
      </c>
      <c r="J363" s="711" t="str">
        <f>IF(op!J296="","",op!J296)</f>
        <v/>
      </c>
      <c r="K363" s="472"/>
      <c r="L363" s="1049">
        <f>IF(op!L296="","",op!L296)</f>
        <v>0</v>
      </c>
      <c r="M363" s="1049">
        <f>IF(op!M296="","",op!M296)</f>
        <v>0</v>
      </c>
      <c r="N363" s="1051" t="str">
        <f t="shared" si="145"/>
        <v/>
      </c>
      <c r="O363" s="1051" t="str">
        <f t="shared" si="146"/>
        <v/>
      </c>
      <c r="P363" s="1125" t="str">
        <f t="shared" si="147"/>
        <v/>
      </c>
      <c r="Q363" s="472"/>
      <c r="R363" s="923" t="str">
        <f t="shared" si="162"/>
        <v/>
      </c>
      <c r="S363" s="923" t="str">
        <f t="shared" si="148"/>
        <v/>
      </c>
      <c r="T363" s="925" t="str">
        <f t="shared" si="149"/>
        <v/>
      </c>
      <c r="U363" s="545"/>
      <c r="V363" s="1103"/>
      <c r="W363" s="1103"/>
      <c r="X363" s="1060"/>
      <c r="Y363" s="1095" t="e">
        <f t="shared" si="150"/>
        <v>#VALUE!</v>
      </c>
      <c r="Z363" s="1094">
        <f>tab!$B$50</f>
        <v>0.6</v>
      </c>
      <c r="AA363" s="1126" t="e">
        <f t="shared" si="151"/>
        <v>#VALUE!</v>
      </c>
      <c r="AB363" s="1126" t="e">
        <f t="shared" si="152"/>
        <v>#VALUE!</v>
      </c>
      <c r="AC363" s="1126" t="e">
        <f t="shared" si="153"/>
        <v>#VALUE!</v>
      </c>
      <c r="AD363" s="1128" t="e">
        <f t="shared" si="154"/>
        <v>#VALUE!</v>
      </c>
      <c r="AE363" s="1128">
        <f t="shared" si="155"/>
        <v>0</v>
      </c>
      <c r="AF363" s="1096">
        <f>IF(H363&gt;8,tab!$B$51,tab!$B$54)</f>
        <v>0.5</v>
      </c>
      <c r="AG363" s="1097">
        <f t="shared" si="156"/>
        <v>0</v>
      </c>
      <c r="AH363" s="1093">
        <f t="shared" si="157"/>
        <v>0</v>
      </c>
      <c r="AI363" s="1120" t="e">
        <f>DATE(YEAR(tab!$G$3),MONTH(G363),DAY(G363))&gt;tab!$G$3</f>
        <v>#VALUE!</v>
      </c>
      <c r="AJ363" s="1097" t="e">
        <f t="shared" si="161"/>
        <v>#VALUE!</v>
      </c>
      <c r="AK363" s="1041">
        <f t="shared" si="158"/>
        <v>30</v>
      </c>
      <c r="AL363" s="1041">
        <f t="shared" si="159"/>
        <v>30</v>
      </c>
      <c r="AM363" s="1047">
        <f t="shared" si="160"/>
        <v>0</v>
      </c>
      <c r="AS363" s="727"/>
    </row>
    <row r="364" spans="3:45" ht="12.75" customHeight="1" x14ac:dyDescent="0.3">
      <c r="C364" s="122"/>
      <c r="D364" s="388" t="str">
        <f>IF(op!D297=0,"",op!D297)</f>
        <v/>
      </c>
      <c r="E364" s="388" t="str">
        <f>IF(op!E297=0,"-",op!E297)</f>
        <v/>
      </c>
      <c r="F364" s="684" t="str">
        <f>IF(op!F297="","",op!F297+1)</f>
        <v/>
      </c>
      <c r="G364" s="710" t="str">
        <f>IF(op!G297="","",op!G297)</f>
        <v/>
      </c>
      <c r="H364" s="684" t="str">
        <f>IF(op!H297=0,"",op!H297)</f>
        <v/>
      </c>
      <c r="I364" s="389" t="str">
        <f>IF(J364="","",(IF(op!I297+1&gt;LOOKUP(H364,schaal2019,regels2019),op!I297,op!I297+1)))</f>
        <v/>
      </c>
      <c r="J364" s="711" t="str">
        <f>IF(op!J297="","",op!J297)</f>
        <v/>
      </c>
      <c r="K364" s="472"/>
      <c r="L364" s="1049">
        <f>IF(op!L297="","",op!L297)</f>
        <v>0</v>
      </c>
      <c r="M364" s="1049">
        <f>IF(op!M297="","",op!M297)</f>
        <v>0</v>
      </c>
      <c r="N364" s="1051" t="str">
        <f t="shared" si="145"/>
        <v/>
      </c>
      <c r="O364" s="1051" t="str">
        <f t="shared" si="146"/>
        <v/>
      </c>
      <c r="P364" s="1125" t="str">
        <f t="shared" si="147"/>
        <v/>
      </c>
      <c r="Q364" s="472"/>
      <c r="R364" s="923" t="str">
        <f t="shared" si="162"/>
        <v/>
      </c>
      <c r="S364" s="923" t="str">
        <f t="shared" si="148"/>
        <v/>
      </c>
      <c r="T364" s="925" t="str">
        <f t="shared" si="149"/>
        <v/>
      </c>
      <c r="U364" s="545"/>
      <c r="V364" s="1103"/>
      <c r="W364" s="1103"/>
      <c r="X364" s="1060"/>
      <c r="Y364" s="1095" t="e">
        <f t="shared" si="150"/>
        <v>#VALUE!</v>
      </c>
      <c r="Z364" s="1094">
        <f>tab!$B$50</f>
        <v>0.6</v>
      </c>
      <c r="AA364" s="1126" t="e">
        <f t="shared" si="151"/>
        <v>#VALUE!</v>
      </c>
      <c r="AB364" s="1126" t="e">
        <f t="shared" si="152"/>
        <v>#VALUE!</v>
      </c>
      <c r="AC364" s="1126" t="e">
        <f t="shared" si="153"/>
        <v>#VALUE!</v>
      </c>
      <c r="AD364" s="1128" t="e">
        <f t="shared" si="154"/>
        <v>#VALUE!</v>
      </c>
      <c r="AE364" s="1128">
        <f t="shared" si="155"/>
        <v>0</v>
      </c>
      <c r="AF364" s="1096">
        <f>IF(H364&gt;8,tab!$B$51,tab!$B$54)</f>
        <v>0.5</v>
      </c>
      <c r="AG364" s="1097">
        <f t="shared" si="156"/>
        <v>0</v>
      </c>
      <c r="AH364" s="1093">
        <f t="shared" si="157"/>
        <v>0</v>
      </c>
      <c r="AI364" s="1120" t="e">
        <f>DATE(YEAR(tab!$G$3),MONTH(G364),DAY(G364))&gt;tab!$G$3</f>
        <v>#VALUE!</v>
      </c>
      <c r="AJ364" s="1097" t="e">
        <f t="shared" si="161"/>
        <v>#VALUE!</v>
      </c>
      <c r="AK364" s="1041">
        <f t="shared" si="158"/>
        <v>30</v>
      </c>
      <c r="AL364" s="1041">
        <f t="shared" si="159"/>
        <v>30</v>
      </c>
      <c r="AM364" s="1047">
        <f t="shared" si="160"/>
        <v>0</v>
      </c>
      <c r="AS364" s="727"/>
    </row>
    <row r="365" spans="3:45" ht="12.75" customHeight="1" x14ac:dyDescent="0.3">
      <c r="C365" s="122"/>
      <c r="D365" s="388" t="str">
        <f>IF(op!D298=0,"",op!D298)</f>
        <v/>
      </c>
      <c r="E365" s="388" t="str">
        <f>IF(op!E298=0,"-",op!E298)</f>
        <v/>
      </c>
      <c r="F365" s="684" t="str">
        <f>IF(op!F298="","",op!F298+1)</f>
        <v/>
      </c>
      <c r="G365" s="710" t="str">
        <f>IF(op!G298="","",op!G298)</f>
        <v/>
      </c>
      <c r="H365" s="684" t="str">
        <f>IF(op!H298=0,"",op!H298)</f>
        <v/>
      </c>
      <c r="I365" s="389" t="str">
        <f>IF(J365="","",(IF(op!I298+1&gt;LOOKUP(H365,schaal2019,regels2019),op!I298,op!I298+1)))</f>
        <v/>
      </c>
      <c r="J365" s="711" t="str">
        <f>IF(op!J298="","",op!J298)</f>
        <v/>
      </c>
      <c r="K365" s="472"/>
      <c r="L365" s="1049">
        <f>IF(op!L298="","",op!L298)</f>
        <v>0</v>
      </c>
      <c r="M365" s="1049">
        <f>IF(op!M298="","",op!M298)</f>
        <v>0</v>
      </c>
      <c r="N365" s="1051" t="str">
        <f t="shared" si="145"/>
        <v/>
      </c>
      <c r="O365" s="1051" t="str">
        <f t="shared" si="146"/>
        <v/>
      </c>
      <c r="P365" s="1125" t="str">
        <f t="shared" si="147"/>
        <v/>
      </c>
      <c r="Q365" s="472"/>
      <c r="R365" s="923" t="str">
        <f t="shared" si="162"/>
        <v/>
      </c>
      <c r="S365" s="923" t="str">
        <f t="shared" si="148"/>
        <v/>
      </c>
      <c r="T365" s="925" t="str">
        <f t="shared" si="149"/>
        <v/>
      </c>
      <c r="U365" s="545"/>
      <c r="V365" s="1103"/>
      <c r="W365" s="1103"/>
      <c r="X365" s="1060"/>
      <c r="Y365" s="1095" t="e">
        <f t="shared" si="150"/>
        <v>#VALUE!</v>
      </c>
      <c r="Z365" s="1094">
        <f>tab!$B$50</f>
        <v>0.6</v>
      </c>
      <c r="AA365" s="1126" t="e">
        <f t="shared" si="151"/>
        <v>#VALUE!</v>
      </c>
      <c r="AB365" s="1126" t="e">
        <f t="shared" si="152"/>
        <v>#VALUE!</v>
      </c>
      <c r="AC365" s="1126" t="e">
        <f t="shared" si="153"/>
        <v>#VALUE!</v>
      </c>
      <c r="AD365" s="1128" t="e">
        <f t="shared" si="154"/>
        <v>#VALUE!</v>
      </c>
      <c r="AE365" s="1128">
        <f t="shared" si="155"/>
        <v>0</v>
      </c>
      <c r="AF365" s="1096">
        <f>IF(H365&gt;8,tab!$B$51,tab!$B$54)</f>
        <v>0.5</v>
      </c>
      <c r="AG365" s="1097">
        <f t="shared" si="156"/>
        <v>0</v>
      </c>
      <c r="AH365" s="1093">
        <f t="shared" si="157"/>
        <v>0</v>
      </c>
      <c r="AI365" s="1120" t="e">
        <f>DATE(YEAR(tab!$G$3),MONTH(G365),DAY(G365))&gt;tab!$G$3</f>
        <v>#VALUE!</v>
      </c>
      <c r="AJ365" s="1097" t="e">
        <f t="shared" si="161"/>
        <v>#VALUE!</v>
      </c>
      <c r="AK365" s="1041">
        <f t="shared" si="158"/>
        <v>30</v>
      </c>
      <c r="AL365" s="1041">
        <f t="shared" si="159"/>
        <v>30</v>
      </c>
      <c r="AM365" s="1047">
        <f t="shared" si="160"/>
        <v>0</v>
      </c>
      <c r="AS365" s="727"/>
    </row>
    <row r="366" spans="3:45" ht="12.75" customHeight="1" x14ac:dyDescent="0.3">
      <c r="C366" s="122"/>
      <c r="D366" s="388" t="str">
        <f>IF(op!D299=0,"",op!D299)</f>
        <v/>
      </c>
      <c r="E366" s="388" t="str">
        <f>IF(op!E299=0,"-",op!E299)</f>
        <v/>
      </c>
      <c r="F366" s="684" t="str">
        <f>IF(op!F299="","",op!F299+1)</f>
        <v/>
      </c>
      <c r="G366" s="710" t="str">
        <f>IF(op!G299="","",op!G299)</f>
        <v/>
      </c>
      <c r="H366" s="684" t="str">
        <f>IF(op!H299=0,"",op!H299)</f>
        <v/>
      </c>
      <c r="I366" s="389" t="str">
        <f>IF(J366="","",(IF(op!I299+1&gt;LOOKUP(H366,schaal2019,regels2019),op!I299,op!I299+1)))</f>
        <v/>
      </c>
      <c r="J366" s="711" t="str">
        <f>IF(op!J299="","",op!J299)</f>
        <v/>
      </c>
      <c r="K366" s="472"/>
      <c r="L366" s="1049">
        <f>IF(op!L299="","",op!L299)</f>
        <v>0</v>
      </c>
      <c r="M366" s="1049">
        <f>IF(op!M299="","",op!M299)</f>
        <v>0</v>
      </c>
      <c r="N366" s="1051" t="str">
        <f t="shared" si="145"/>
        <v/>
      </c>
      <c r="O366" s="1051" t="str">
        <f t="shared" si="146"/>
        <v/>
      </c>
      <c r="P366" s="1125" t="str">
        <f t="shared" si="147"/>
        <v/>
      </c>
      <c r="Q366" s="472"/>
      <c r="R366" s="923" t="str">
        <f t="shared" si="162"/>
        <v/>
      </c>
      <c r="S366" s="923" t="str">
        <f t="shared" si="148"/>
        <v/>
      </c>
      <c r="T366" s="925" t="str">
        <f t="shared" si="149"/>
        <v/>
      </c>
      <c r="U366" s="545"/>
      <c r="V366" s="1103"/>
      <c r="W366" s="1103"/>
      <c r="X366" s="1060"/>
      <c r="Y366" s="1095" t="e">
        <f t="shared" si="150"/>
        <v>#VALUE!</v>
      </c>
      <c r="Z366" s="1094">
        <f>tab!$B$50</f>
        <v>0.6</v>
      </c>
      <c r="AA366" s="1126" t="e">
        <f t="shared" si="151"/>
        <v>#VALUE!</v>
      </c>
      <c r="AB366" s="1126" t="e">
        <f t="shared" si="152"/>
        <v>#VALUE!</v>
      </c>
      <c r="AC366" s="1126" t="e">
        <f t="shared" si="153"/>
        <v>#VALUE!</v>
      </c>
      <c r="AD366" s="1128" t="e">
        <f t="shared" si="154"/>
        <v>#VALUE!</v>
      </c>
      <c r="AE366" s="1128">
        <f t="shared" si="155"/>
        <v>0</v>
      </c>
      <c r="AF366" s="1096">
        <f>IF(H366&gt;8,tab!$B$51,tab!$B$54)</f>
        <v>0.5</v>
      </c>
      <c r="AG366" s="1097">
        <f t="shared" si="156"/>
        <v>0</v>
      </c>
      <c r="AH366" s="1093">
        <f t="shared" si="157"/>
        <v>0</v>
      </c>
      <c r="AI366" s="1120" t="e">
        <f>DATE(YEAR(tab!$G$3),MONTH(G366),DAY(G366))&gt;tab!$G$3</f>
        <v>#VALUE!</v>
      </c>
      <c r="AJ366" s="1097" t="e">
        <f t="shared" si="161"/>
        <v>#VALUE!</v>
      </c>
      <c r="AK366" s="1041">
        <f t="shared" si="158"/>
        <v>30</v>
      </c>
      <c r="AL366" s="1041">
        <f t="shared" si="159"/>
        <v>30</v>
      </c>
      <c r="AM366" s="1047">
        <f t="shared" si="160"/>
        <v>0</v>
      </c>
      <c r="AS366" s="727"/>
    </row>
    <row r="367" spans="3:45" ht="12.75" customHeight="1" x14ac:dyDescent="0.3">
      <c r="C367" s="122"/>
      <c r="D367" s="388" t="str">
        <f>IF(op!D300=0,"",op!D300)</f>
        <v/>
      </c>
      <c r="E367" s="388" t="str">
        <f>IF(op!E300=0,"-",op!E300)</f>
        <v/>
      </c>
      <c r="F367" s="684" t="str">
        <f>IF(op!F300="","",op!F300+1)</f>
        <v/>
      </c>
      <c r="G367" s="710" t="str">
        <f>IF(op!G300="","",op!G300)</f>
        <v/>
      </c>
      <c r="H367" s="684" t="str">
        <f>IF(op!H300=0,"",op!H300)</f>
        <v/>
      </c>
      <c r="I367" s="389" t="str">
        <f>IF(J367="","",(IF(op!I300+1&gt;LOOKUP(H367,schaal2019,regels2019),op!I300,op!I300+1)))</f>
        <v/>
      </c>
      <c r="J367" s="711" t="str">
        <f>IF(op!J300="","",op!J300)</f>
        <v/>
      </c>
      <c r="K367" s="472"/>
      <c r="L367" s="1049">
        <f>IF(op!L300="","",op!L300)</f>
        <v>0</v>
      </c>
      <c r="M367" s="1049">
        <f>IF(op!M300="","",op!M300)</f>
        <v>0</v>
      </c>
      <c r="N367" s="1051" t="str">
        <f t="shared" si="145"/>
        <v/>
      </c>
      <c r="O367" s="1051" t="str">
        <f t="shared" si="146"/>
        <v/>
      </c>
      <c r="P367" s="1125" t="str">
        <f t="shared" si="147"/>
        <v/>
      </c>
      <c r="Q367" s="472"/>
      <c r="R367" s="923" t="str">
        <f t="shared" si="162"/>
        <v/>
      </c>
      <c r="S367" s="923" t="str">
        <f t="shared" si="148"/>
        <v/>
      </c>
      <c r="T367" s="925" t="str">
        <f t="shared" si="149"/>
        <v/>
      </c>
      <c r="U367" s="545"/>
      <c r="V367" s="1103"/>
      <c r="W367" s="1103"/>
      <c r="X367" s="1060"/>
      <c r="Y367" s="1095" t="e">
        <f t="shared" si="150"/>
        <v>#VALUE!</v>
      </c>
      <c r="Z367" s="1094">
        <f>tab!$B$50</f>
        <v>0.6</v>
      </c>
      <c r="AA367" s="1126" t="e">
        <f t="shared" si="151"/>
        <v>#VALUE!</v>
      </c>
      <c r="AB367" s="1126" t="e">
        <f t="shared" si="152"/>
        <v>#VALUE!</v>
      </c>
      <c r="AC367" s="1126" t="e">
        <f t="shared" si="153"/>
        <v>#VALUE!</v>
      </c>
      <c r="AD367" s="1128" t="e">
        <f t="shared" si="154"/>
        <v>#VALUE!</v>
      </c>
      <c r="AE367" s="1128">
        <f t="shared" si="155"/>
        <v>0</v>
      </c>
      <c r="AF367" s="1096">
        <f>IF(H367&gt;8,tab!$B$51,tab!$B$54)</f>
        <v>0.5</v>
      </c>
      <c r="AG367" s="1097">
        <f t="shared" si="156"/>
        <v>0</v>
      </c>
      <c r="AH367" s="1093">
        <f t="shared" si="157"/>
        <v>0</v>
      </c>
      <c r="AI367" s="1120" t="e">
        <f>DATE(YEAR(tab!$G$3),MONTH(G367),DAY(G367))&gt;tab!$G$3</f>
        <v>#VALUE!</v>
      </c>
      <c r="AJ367" s="1097" t="e">
        <f t="shared" si="161"/>
        <v>#VALUE!</v>
      </c>
      <c r="AK367" s="1041">
        <f t="shared" si="158"/>
        <v>30</v>
      </c>
      <c r="AL367" s="1041">
        <f t="shared" si="159"/>
        <v>30</v>
      </c>
      <c r="AM367" s="1047">
        <f t="shared" si="160"/>
        <v>0</v>
      </c>
      <c r="AS367" s="727"/>
    </row>
    <row r="368" spans="3:45" ht="12.75" customHeight="1" x14ac:dyDescent="0.3">
      <c r="C368" s="122"/>
      <c r="D368" s="388" t="str">
        <f>IF(op!D301=0,"",op!D301)</f>
        <v/>
      </c>
      <c r="E368" s="388" t="str">
        <f>IF(op!E301=0,"-",op!E301)</f>
        <v/>
      </c>
      <c r="F368" s="684" t="str">
        <f>IF(op!F301="","",op!F301+1)</f>
        <v/>
      </c>
      <c r="G368" s="710" t="str">
        <f>IF(op!G301="","",op!G301)</f>
        <v/>
      </c>
      <c r="H368" s="684" t="str">
        <f>IF(op!H301=0,"",op!H301)</f>
        <v/>
      </c>
      <c r="I368" s="389" t="str">
        <f>IF(J368="","",(IF(op!I301+1&gt;LOOKUP(H368,schaal2019,regels2019),op!I301,op!I301+1)))</f>
        <v/>
      </c>
      <c r="J368" s="711" t="str">
        <f>IF(op!J301="","",op!J301)</f>
        <v/>
      </c>
      <c r="K368" s="472"/>
      <c r="L368" s="1049">
        <f>IF(op!L301="","",op!L301)</f>
        <v>0</v>
      </c>
      <c r="M368" s="1049">
        <f>IF(op!M301="","",op!M301)</f>
        <v>0</v>
      </c>
      <c r="N368" s="1051" t="str">
        <f t="shared" si="145"/>
        <v/>
      </c>
      <c r="O368" s="1051" t="str">
        <f t="shared" si="146"/>
        <v/>
      </c>
      <c r="P368" s="1125" t="str">
        <f t="shared" si="147"/>
        <v/>
      </c>
      <c r="Q368" s="472"/>
      <c r="R368" s="923" t="str">
        <f t="shared" si="162"/>
        <v/>
      </c>
      <c r="S368" s="923" t="str">
        <f t="shared" si="148"/>
        <v/>
      </c>
      <c r="T368" s="925" t="str">
        <f t="shared" si="149"/>
        <v/>
      </c>
      <c r="U368" s="545"/>
      <c r="V368" s="1103"/>
      <c r="W368" s="1103"/>
      <c r="X368" s="1060"/>
      <c r="Y368" s="1095" t="e">
        <f t="shared" si="150"/>
        <v>#VALUE!</v>
      </c>
      <c r="Z368" s="1094">
        <f>tab!$B$50</f>
        <v>0.6</v>
      </c>
      <c r="AA368" s="1126" t="e">
        <f t="shared" si="151"/>
        <v>#VALUE!</v>
      </c>
      <c r="AB368" s="1126" t="e">
        <f t="shared" si="152"/>
        <v>#VALUE!</v>
      </c>
      <c r="AC368" s="1126" t="e">
        <f t="shared" si="153"/>
        <v>#VALUE!</v>
      </c>
      <c r="AD368" s="1128" t="e">
        <f t="shared" si="154"/>
        <v>#VALUE!</v>
      </c>
      <c r="AE368" s="1128">
        <f t="shared" si="155"/>
        <v>0</v>
      </c>
      <c r="AF368" s="1096">
        <f>IF(H368&gt;8,tab!$B$51,tab!$B$54)</f>
        <v>0.5</v>
      </c>
      <c r="AG368" s="1097">
        <f t="shared" si="156"/>
        <v>0</v>
      </c>
      <c r="AH368" s="1093">
        <f t="shared" si="157"/>
        <v>0</v>
      </c>
      <c r="AI368" s="1120" t="e">
        <f>DATE(YEAR(tab!$G$3),MONTH(G368),DAY(G368))&gt;tab!$G$3</f>
        <v>#VALUE!</v>
      </c>
      <c r="AJ368" s="1097" t="e">
        <f t="shared" si="161"/>
        <v>#VALUE!</v>
      </c>
      <c r="AK368" s="1041">
        <f t="shared" si="158"/>
        <v>30</v>
      </c>
      <c r="AL368" s="1041">
        <f t="shared" si="159"/>
        <v>30</v>
      </c>
      <c r="AM368" s="1047">
        <f t="shared" si="160"/>
        <v>0</v>
      </c>
      <c r="AS368" s="727"/>
    </row>
    <row r="369" spans="3:45" ht="12.75" customHeight="1" x14ac:dyDescent="0.3">
      <c r="C369" s="122"/>
      <c r="D369" s="388" t="str">
        <f>IF(op!D302=0,"",op!D302)</f>
        <v/>
      </c>
      <c r="E369" s="388" t="str">
        <f>IF(op!E302=0,"-",op!E302)</f>
        <v/>
      </c>
      <c r="F369" s="684" t="str">
        <f>IF(op!F302="","",op!F302+1)</f>
        <v/>
      </c>
      <c r="G369" s="710" t="str">
        <f>IF(op!G302="","",op!G302)</f>
        <v/>
      </c>
      <c r="H369" s="684" t="str">
        <f>IF(op!H302=0,"",op!H302)</f>
        <v/>
      </c>
      <c r="I369" s="389" t="str">
        <f>IF(J369="","",(IF(op!I302+1&gt;LOOKUP(H369,schaal2019,regels2019),op!I302,op!I302+1)))</f>
        <v/>
      </c>
      <c r="J369" s="711" t="str">
        <f>IF(op!J302="","",op!J302)</f>
        <v/>
      </c>
      <c r="K369" s="472"/>
      <c r="L369" s="1049">
        <f>IF(op!L302="","",op!L302)</f>
        <v>0</v>
      </c>
      <c r="M369" s="1049">
        <f>IF(op!M302="","",op!M302)</f>
        <v>0</v>
      </c>
      <c r="N369" s="1051" t="str">
        <f t="shared" si="145"/>
        <v/>
      </c>
      <c r="O369" s="1051" t="str">
        <f t="shared" si="146"/>
        <v/>
      </c>
      <c r="P369" s="1125" t="str">
        <f t="shared" si="147"/>
        <v/>
      </c>
      <c r="Q369" s="472"/>
      <c r="R369" s="923" t="str">
        <f t="shared" si="162"/>
        <v/>
      </c>
      <c r="S369" s="923" t="str">
        <f t="shared" si="148"/>
        <v/>
      </c>
      <c r="T369" s="925" t="str">
        <f t="shared" si="149"/>
        <v/>
      </c>
      <c r="U369" s="545"/>
      <c r="V369" s="1103"/>
      <c r="W369" s="1103"/>
      <c r="X369" s="1060"/>
      <c r="Y369" s="1095" t="e">
        <f t="shared" si="150"/>
        <v>#VALUE!</v>
      </c>
      <c r="Z369" s="1094">
        <f>tab!$B$50</f>
        <v>0.6</v>
      </c>
      <c r="AA369" s="1126" t="e">
        <f t="shared" si="151"/>
        <v>#VALUE!</v>
      </c>
      <c r="AB369" s="1126" t="e">
        <f t="shared" si="152"/>
        <v>#VALUE!</v>
      </c>
      <c r="AC369" s="1126" t="e">
        <f t="shared" si="153"/>
        <v>#VALUE!</v>
      </c>
      <c r="AD369" s="1128" t="e">
        <f t="shared" si="154"/>
        <v>#VALUE!</v>
      </c>
      <c r="AE369" s="1128">
        <f t="shared" si="155"/>
        <v>0</v>
      </c>
      <c r="AF369" s="1096">
        <f>IF(H369&gt;8,tab!$B$51,tab!$B$54)</f>
        <v>0.5</v>
      </c>
      <c r="AG369" s="1097">
        <f t="shared" si="156"/>
        <v>0</v>
      </c>
      <c r="AH369" s="1093">
        <f t="shared" si="157"/>
        <v>0</v>
      </c>
      <c r="AI369" s="1120" t="e">
        <f>DATE(YEAR(tab!$G$3),MONTH(G369),DAY(G369))&gt;tab!$G$3</f>
        <v>#VALUE!</v>
      </c>
      <c r="AJ369" s="1097" t="e">
        <f t="shared" si="161"/>
        <v>#VALUE!</v>
      </c>
      <c r="AK369" s="1041">
        <f t="shared" si="158"/>
        <v>30</v>
      </c>
      <c r="AL369" s="1041">
        <f t="shared" si="159"/>
        <v>30</v>
      </c>
      <c r="AM369" s="1047">
        <f t="shared" si="160"/>
        <v>0</v>
      </c>
      <c r="AS369" s="727"/>
    </row>
    <row r="370" spans="3:45" ht="12.75" customHeight="1" x14ac:dyDescent="0.3">
      <c r="C370" s="122"/>
      <c r="D370" s="388" t="str">
        <f>IF(op!D303=0,"",op!D303)</f>
        <v/>
      </c>
      <c r="E370" s="388" t="str">
        <f>IF(op!E303=0,"-",op!E303)</f>
        <v/>
      </c>
      <c r="F370" s="684" t="str">
        <f>IF(op!F303="","",op!F303+1)</f>
        <v/>
      </c>
      <c r="G370" s="710" t="str">
        <f>IF(op!G303="","",op!G303)</f>
        <v/>
      </c>
      <c r="H370" s="684" t="str">
        <f>IF(op!H303=0,"",op!H303)</f>
        <v/>
      </c>
      <c r="I370" s="389" t="str">
        <f>IF(J370="","",(IF(op!I303+1&gt;LOOKUP(H370,schaal2019,regels2019),op!I303,op!I303+1)))</f>
        <v/>
      </c>
      <c r="J370" s="711" t="str">
        <f>IF(op!J303="","",op!J303)</f>
        <v/>
      </c>
      <c r="K370" s="472"/>
      <c r="L370" s="1049">
        <f>IF(op!L303="","",op!L303)</f>
        <v>0</v>
      </c>
      <c r="M370" s="1049">
        <f>IF(op!M303="","",op!M303)</f>
        <v>0</v>
      </c>
      <c r="N370" s="1051" t="str">
        <f t="shared" si="145"/>
        <v/>
      </c>
      <c r="O370" s="1051" t="str">
        <f t="shared" si="146"/>
        <v/>
      </c>
      <c r="P370" s="1125" t="str">
        <f t="shared" si="147"/>
        <v/>
      </c>
      <c r="Q370" s="472"/>
      <c r="R370" s="923" t="str">
        <f t="shared" si="162"/>
        <v/>
      </c>
      <c r="S370" s="923" t="str">
        <f t="shared" si="148"/>
        <v/>
      </c>
      <c r="T370" s="925" t="str">
        <f t="shared" si="149"/>
        <v/>
      </c>
      <c r="U370" s="545"/>
      <c r="V370" s="1103"/>
      <c r="W370" s="1103"/>
      <c r="X370" s="1060"/>
      <c r="Y370" s="1095" t="e">
        <f t="shared" si="150"/>
        <v>#VALUE!</v>
      </c>
      <c r="Z370" s="1094">
        <f>tab!$B$50</f>
        <v>0.6</v>
      </c>
      <c r="AA370" s="1126" t="e">
        <f t="shared" si="151"/>
        <v>#VALUE!</v>
      </c>
      <c r="AB370" s="1126" t="e">
        <f t="shared" si="152"/>
        <v>#VALUE!</v>
      </c>
      <c r="AC370" s="1126" t="e">
        <f t="shared" si="153"/>
        <v>#VALUE!</v>
      </c>
      <c r="AD370" s="1128" t="e">
        <f t="shared" si="154"/>
        <v>#VALUE!</v>
      </c>
      <c r="AE370" s="1128">
        <f t="shared" si="155"/>
        <v>0</v>
      </c>
      <c r="AF370" s="1096">
        <f>IF(H370&gt;8,tab!$B$51,tab!$B$54)</f>
        <v>0.5</v>
      </c>
      <c r="AG370" s="1097">
        <f t="shared" si="156"/>
        <v>0</v>
      </c>
      <c r="AH370" s="1093">
        <f t="shared" si="157"/>
        <v>0</v>
      </c>
      <c r="AI370" s="1120" t="e">
        <f>DATE(YEAR(tab!$G$3),MONTH(G370),DAY(G370))&gt;tab!$G$3</f>
        <v>#VALUE!</v>
      </c>
      <c r="AJ370" s="1097" t="e">
        <f t="shared" si="161"/>
        <v>#VALUE!</v>
      </c>
      <c r="AK370" s="1041">
        <f t="shared" si="158"/>
        <v>30</v>
      </c>
      <c r="AL370" s="1041">
        <f t="shared" si="159"/>
        <v>30</v>
      </c>
      <c r="AM370" s="1047">
        <f t="shared" si="160"/>
        <v>0</v>
      </c>
      <c r="AS370" s="727"/>
    </row>
    <row r="371" spans="3:45" ht="12.75" customHeight="1" x14ac:dyDescent="0.3">
      <c r="C371" s="122"/>
      <c r="D371" s="388" t="str">
        <f>IF(op!D304=0,"",op!D304)</f>
        <v/>
      </c>
      <c r="E371" s="388" t="str">
        <f>IF(op!E304=0,"-",op!E304)</f>
        <v/>
      </c>
      <c r="F371" s="684" t="str">
        <f>IF(op!F304="","",op!F304+1)</f>
        <v/>
      </c>
      <c r="G371" s="710" t="str">
        <f>IF(op!G304="","",op!G304)</f>
        <v/>
      </c>
      <c r="H371" s="684" t="str">
        <f>IF(op!H304=0,"",op!H304)</f>
        <v/>
      </c>
      <c r="I371" s="389" t="str">
        <f>IF(J371="","",(IF(op!I304+1&gt;LOOKUP(H371,schaal2019,regels2019),op!I304,op!I304+1)))</f>
        <v/>
      </c>
      <c r="J371" s="711" t="str">
        <f>IF(op!J304="","",op!J304)</f>
        <v/>
      </c>
      <c r="K371" s="472"/>
      <c r="L371" s="1049">
        <f>IF(op!L304="","",op!L304)</f>
        <v>0</v>
      </c>
      <c r="M371" s="1049">
        <f>IF(op!M304="","",op!M304)</f>
        <v>0</v>
      </c>
      <c r="N371" s="1051" t="str">
        <f t="shared" si="145"/>
        <v/>
      </c>
      <c r="O371" s="1051" t="str">
        <f t="shared" si="146"/>
        <v/>
      </c>
      <c r="P371" s="1125" t="str">
        <f t="shared" si="147"/>
        <v/>
      </c>
      <c r="Q371" s="472"/>
      <c r="R371" s="923" t="str">
        <f t="shared" si="162"/>
        <v/>
      </c>
      <c r="S371" s="923" t="str">
        <f t="shared" si="148"/>
        <v/>
      </c>
      <c r="T371" s="925" t="str">
        <f t="shared" si="149"/>
        <v/>
      </c>
      <c r="U371" s="545"/>
      <c r="V371" s="1103"/>
      <c r="W371" s="1103"/>
      <c r="X371" s="1060"/>
      <c r="Y371" s="1095" t="e">
        <f t="shared" si="150"/>
        <v>#VALUE!</v>
      </c>
      <c r="Z371" s="1094">
        <f>tab!$B$50</f>
        <v>0.6</v>
      </c>
      <c r="AA371" s="1126" t="e">
        <f t="shared" si="151"/>
        <v>#VALUE!</v>
      </c>
      <c r="AB371" s="1126" t="e">
        <f t="shared" si="152"/>
        <v>#VALUE!</v>
      </c>
      <c r="AC371" s="1126" t="e">
        <f t="shared" si="153"/>
        <v>#VALUE!</v>
      </c>
      <c r="AD371" s="1128" t="e">
        <f t="shared" si="154"/>
        <v>#VALUE!</v>
      </c>
      <c r="AE371" s="1128">
        <f t="shared" si="155"/>
        <v>0</v>
      </c>
      <c r="AF371" s="1096">
        <f>IF(H371&gt;8,tab!$B$51,tab!$B$54)</f>
        <v>0.5</v>
      </c>
      <c r="AG371" s="1097">
        <f t="shared" si="156"/>
        <v>0</v>
      </c>
      <c r="AH371" s="1093">
        <f t="shared" si="157"/>
        <v>0</v>
      </c>
      <c r="AI371" s="1120" t="e">
        <f>DATE(YEAR(tab!$G$3),MONTH(G371),DAY(G371))&gt;tab!$G$3</f>
        <v>#VALUE!</v>
      </c>
      <c r="AJ371" s="1097" t="e">
        <f t="shared" si="161"/>
        <v>#VALUE!</v>
      </c>
      <c r="AK371" s="1041">
        <f t="shared" si="158"/>
        <v>30</v>
      </c>
      <c r="AL371" s="1041">
        <f t="shared" si="159"/>
        <v>30</v>
      </c>
      <c r="AM371" s="1047">
        <f t="shared" si="160"/>
        <v>0</v>
      </c>
      <c r="AS371" s="727"/>
    </row>
    <row r="372" spans="3:45" ht="12.75" customHeight="1" x14ac:dyDescent="0.3">
      <c r="C372" s="122"/>
      <c r="D372" s="388" t="str">
        <f>IF(op!D305=0,"",op!D305)</f>
        <v/>
      </c>
      <c r="E372" s="388" t="str">
        <f>IF(op!E305=0,"-",op!E305)</f>
        <v/>
      </c>
      <c r="F372" s="684" t="str">
        <f>IF(op!F305="","",op!F305+1)</f>
        <v/>
      </c>
      <c r="G372" s="710" t="str">
        <f>IF(op!G305="","",op!G305)</f>
        <v/>
      </c>
      <c r="H372" s="684" t="str">
        <f>IF(op!H305=0,"",op!H305)</f>
        <v/>
      </c>
      <c r="I372" s="389" t="str">
        <f>IF(J372="","",(IF(op!I305+1&gt;LOOKUP(H372,schaal2019,regels2019),op!I305,op!I305+1)))</f>
        <v/>
      </c>
      <c r="J372" s="711" t="str">
        <f>IF(op!J305="","",op!J305)</f>
        <v/>
      </c>
      <c r="K372" s="472"/>
      <c r="L372" s="1049">
        <f>IF(op!L305="","",op!L305)</f>
        <v>0</v>
      </c>
      <c r="M372" s="1049">
        <f>IF(op!M305="","",op!M305)</f>
        <v>0</v>
      </c>
      <c r="N372" s="1051" t="str">
        <f t="shared" si="145"/>
        <v/>
      </c>
      <c r="O372" s="1051" t="str">
        <f t="shared" si="146"/>
        <v/>
      </c>
      <c r="P372" s="1125" t="str">
        <f t="shared" si="147"/>
        <v/>
      </c>
      <c r="Q372" s="472"/>
      <c r="R372" s="923" t="str">
        <f t="shared" si="162"/>
        <v/>
      </c>
      <c r="S372" s="923" t="str">
        <f t="shared" si="148"/>
        <v/>
      </c>
      <c r="T372" s="925" t="str">
        <f t="shared" si="149"/>
        <v/>
      </c>
      <c r="U372" s="545"/>
      <c r="V372" s="1103"/>
      <c r="W372" s="1103"/>
      <c r="X372" s="1060"/>
      <c r="Y372" s="1095" t="e">
        <f t="shared" si="150"/>
        <v>#VALUE!</v>
      </c>
      <c r="Z372" s="1094">
        <f>tab!$B$50</f>
        <v>0.6</v>
      </c>
      <c r="AA372" s="1126" t="e">
        <f t="shared" si="151"/>
        <v>#VALUE!</v>
      </c>
      <c r="AB372" s="1126" t="e">
        <f t="shared" si="152"/>
        <v>#VALUE!</v>
      </c>
      <c r="AC372" s="1126" t="e">
        <f t="shared" si="153"/>
        <v>#VALUE!</v>
      </c>
      <c r="AD372" s="1128" t="e">
        <f t="shared" si="154"/>
        <v>#VALUE!</v>
      </c>
      <c r="AE372" s="1128">
        <f t="shared" si="155"/>
        <v>0</v>
      </c>
      <c r="AF372" s="1096">
        <f>IF(H372&gt;8,tab!$B$51,tab!$B$54)</f>
        <v>0.5</v>
      </c>
      <c r="AG372" s="1097">
        <f t="shared" si="156"/>
        <v>0</v>
      </c>
      <c r="AH372" s="1093">
        <f t="shared" si="157"/>
        <v>0</v>
      </c>
      <c r="AI372" s="1120" t="e">
        <f>DATE(YEAR(tab!$G$3),MONTH(G372),DAY(G372))&gt;tab!$G$3</f>
        <v>#VALUE!</v>
      </c>
      <c r="AJ372" s="1097" t="e">
        <f t="shared" si="161"/>
        <v>#VALUE!</v>
      </c>
      <c r="AK372" s="1041">
        <f t="shared" si="158"/>
        <v>30</v>
      </c>
      <c r="AL372" s="1041">
        <f t="shared" si="159"/>
        <v>30</v>
      </c>
      <c r="AM372" s="1047">
        <f t="shared" si="160"/>
        <v>0</v>
      </c>
      <c r="AS372" s="727"/>
    </row>
    <row r="373" spans="3:45" ht="12.75" customHeight="1" x14ac:dyDescent="0.3">
      <c r="C373" s="122"/>
      <c r="D373" s="388" t="str">
        <f>IF(op!D306=0,"",op!D306)</f>
        <v/>
      </c>
      <c r="E373" s="388" t="str">
        <f>IF(op!E306=0,"-",op!E306)</f>
        <v/>
      </c>
      <c r="F373" s="684" t="str">
        <f>IF(op!F306="","",op!F306+1)</f>
        <v/>
      </c>
      <c r="G373" s="710" t="str">
        <f>IF(op!G306="","",op!G306)</f>
        <v/>
      </c>
      <c r="H373" s="684" t="str">
        <f>IF(op!H306=0,"",op!H306)</f>
        <v/>
      </c>
      <c r="I373" s="389" t="str">
        <f>IF(J373="","",(IF(op!I306+1&gt;LOOKUP(H373,schaal2019,regels2019),op!I306,op!I306+1)))</f>
        <v/>
      </c>
      <c r="J373" s="711" t="str">
        <f>IF(op!J306="","",op!J306)</f>
        <v/>
      </c>
      <c r="K373" s="472"/>
      <c r="L373" s="1049">
        <f>IF(op!L306="","",op!L306)</f>
        <v>0</v>
      </c>
      <c r="M373" s="1049">
        <f>IF(op!M306="","",op!M306)</f>
        <v>0</v>
      </c>
      <c r="N373" s="1051" t="str">
        <f t="shared" si="145"/>
        <v/>
      </c>
      <c r="O373" s="1051" t="str">
        <f t="shared" si="146"/>
        <v/>
      </c>
      <c r="P373" s="1125" t="str">
        <f t="shared" si="147"/>
        <v/>
      </c>
      <c r="Q373" s="472"/>
      <c r="R373" s="923" t="str">
        <f t="shared" si="162"/>
        <v/>
      </c>
      <c r="S373" s="923" t="str">
        <f t="shared" si="148"/>
        <v/>
      </c>
      <c r="T373" s="925" t="str">
        <f t="shared" si="149"/>
        <v/>
      </c>
      <c r="U373" s="545"/>
      <c r="V373" s="1103"/>
      <c r="W373" s="1103"/>
      <c r="X373" s="1060"/>
      <c r="Y373" s="1095" t="e">
        <f t="shared" si="150"/>
        <v>#VALUE!</v>
      </c>
      <c r="Z373" s="1094">
        <f>tab!$B$50</f>
        <v>0.6</v>
      </c>
      <c r="AA373" s="1126" t="e">
        <f t="shared" si="151"/>
        <v>#VALUE!</v>
      </c>
      <c r="AB373" s="1126" t="e">
        <f t="shared" si="152"/>
        <v>#VALUE!</v>
      </c>
      <c r="AC373" s="1126" t="e">
        <f t="shared" si="153"/>
        <v>#VALUE!</v>
      </c>
      <c r="AD373" s="1128" t="e">
        <f t="shared" si="154"/>
        <v>#VALUE!</v>
      </c>
      <c r="AE373" s="1128">
        <f t="shared" si="155"/>
        <v>0</v>
      </c>
      <c r="AF373" s="1096">
        <f>IF(H373&gt;8,tab!$B$51,tab!$B$54)</f>
        <v>0.5</v>
      </c>
      <c r="AG373" s="1097">
        <f t="shared" si="156"/>
        <v>0</v>
      </c>
      <c r="AH373" s="1093">
        <f t="shared" si="157"/>
        <v>0</v>
      </c>
      <c r="AI373" s="1120" t="e">
        <f>DATE(YEAR(tab!$G$3),MONTH(G373),DAY(G373))&gt;tab!$G$3</f>
        <v>#VALUE!</v>
      </c>
      <c r="AJ373" s="1097" t="e">
        <f t="shared" si="161"/>
        <v>#VALUE!</v>
      </c>
      <c r="AK373" s="1041">
        <f t="shared" si="158"/>
        <v>30</v>
      </c>
      <c r="AL373" s="1041">
        <f t="shared" si="159"/>
        <v>30</v>
      </c>
      <c r="AM373" s="1047">
        <f t="shared" si="160"/>
        <v>0</v>
      </c>
      <c r="AS373" s="727"/>
    </row>
    <row r="374" spans="3:45" ht="12.75" customHeight="1" x14ac:dyDescent="0.3">
      <c r="C374" s="122"/>
      <c r="D374" s="388" t="str">
        <f>IF(op!D307=0,"",op!D307)</f>
        <v/>
      </c>
      <c r="E374" s="388" t="str">
        <f>IF(op!E307=0,"-",op!E307)</f>
        <v/>
      </c>
      <c r="F374" s="684" t="str">
        <f>IF(op!F307="","",op!F307+1)</f>
        <v/>
      </c>
      <c r="G374" s="710" t="str">
        <f>IF(op!G307="","",op!G307)</f>
        <v/>
      </c>
      <c r="H374" s="684" t="str">
        <f>IF(op!H307=0,"",op!H307)</f>
        <v/>
      </c>
      <c r="I374" s="389" t="str">
        <f>IF(J374="","",(IF(op!I307+1&gt;LOOKUP(H374,schaal2019,regels2019),op!I307,op!I307+1)))</f>
        <v/>
      </c>
      <c r="J374" s="711" t="str">
        <f>IF(op!J307="","",op!J307)</f>
        <v/>
      </c>
      <c r="K374" s="472"/>
      <c r="L374" s="1049">
        <f>IF(op!L307="","",op!L307)</f>
        <v>0</v>
      </c>
      <c r="M374" s="1049">
        <f>IF(op!M307="","",op!M307)</f>
        <v>0</v>
      </c>
      <c r="N374" s="1051" t="str">
        <f t="shared" si="145"/>
        <v/>
      </c>
      <c r="O374" s="1051" t="str">
        <f t="shared" si="146"/>
        <v/>
      </c>
      <c r="P374" s="1125" t="str">
        <f t="shared" si="147"/>
        <v/>
      </c>
      <c r="Q374" s="472"/>
      <c r="R374" s="923" t="str">
        <f t="shared" si="162"/>
        <v/>
      </c>
      <c r="S374" s="923" t="str">
        <f t="shared" si="148"/>
        <v/>
      </c>
      <c r="T374" s="925" t="str">
        <f t="shared" si="149"/>
        <v/>
      </c>
      <c r="U374" s="545"/>
      <c r="V374" s="1103"/>
      <c r="W374" s="1103"/>
      <c r="X374" s="1060"/>
      <c r="Y374" s="1095" t="e">
        <f t="shared" si="150"/>
        <v>#VALUE!</v>
      </c>
      <c r="Z374" s="1094">
        <f>tab!$B$50</f>
        <v>0.6</v>
      </c>
      <c r="AA374" s="1126" t="e">
        <f t="shared" si="151"/>
        <v>#VALUE!</v>
      </c>
      <c r="AB374" s="1126" t="e">
        <f t="shared" si="152"/>
        <v>#VALUE!</v>
      </c>
      <c r="AC374" s="1126" t="e">
        <f t="shared" si="153"/>
        <v>#VALUE!</v>
      </c>
      <c r="AD374" s="1128" t="e">
        <f t="shared" si="154"/>
        <v>#VALUE!</v>
      </c>
      <c r="AE374" s="1128">
        <f t="shared" si="155"/>
        <v>0</v>
      </c>
      <c r="AF374" s="1096">
        <f>IF(H374&gt;8,tab!$B$51,tab!$B$54)</f>
        <v>0.5</v>
      </c>
      <c r="AG374" s="1097">
        <f t="shared" si="156"/>
        <v>0</v>
      </c>
      <c r="AH374" s="1093">
        <f t="shared" si="157"/>
        <v>0</v>
      </c>
      <c r="AI374" s="1120" t="e">
        <f>DATE(YEAR(tab!$G$3),MONTH(G374),DAY(G374))&gt;tab!$G$3</f>
        <v>#VALUE!</v>
      </c>
      <c r="AJ374" s="1097" t="e">
        <f t="shared" si="161"/>
        <v>#VALUE!</v>
      </c>
      <c r="AK374" s="1041">
        <f t="shared" si="158"/>
        <v>30</v>
      </c>
      <c r="AL374" s="1041">
        <f t="shared" si="159"/>
        <v>30</v>
      </c>
      <c r="AM374" s="1047">
        <f t="shared" si="160"/>
        <v>0</v>
      </c>
      <c r="AS374" s="727"/>
    </row>
    <row r="375" spans="3:45" ht="12.75" customHeight="1" x14ac:dyDescent="0.3">
      <c r="C375" s="122"/>
      <c r="D375" s="388" t="str">
        <f>IF(op!D308=0,"",op!D308)</f>
        <v/>
      </c>
      <c r="E375" s="388" t="str">
        <f>IF(op!E308=0,"-",op!E308)</f>
        <v/>
      </c>
      <c r="F375" s="684" t="str">
        <f>IF(op!F308="","",op!F308+1)</f>
        <v/>
      </c>
      <c r="G375" s="710" t="str">
        <f>IF(op!G308="","",op!G308)</f>
        <v/>
      </c>
      <c r="H375" s="684" t="str">
        <f>IF(op!H308=0,"",op!H308)</f>
        <v/>
      </c>
      <c r="I375" s="389" t="str">
        <f>IF(J375="","",(IF(op!I308+1&gt;LOOKUP(H375,schaal2019,regels2019),op!I308,op!I308+1)))</f>
        <v/>
      </c>
      <c r="J375" s="711" t="str">
        <f>IF(op!J308="","",op!J308)</f>
        <v/>
      </c>
      <c r="K375" s="472"/>
      <c r="L375" s="1049">
        <f>IF(op!L308="","",op!L308)</f>
        <v>0</v>
      </c>
      <c r="M375" s="1049">
        <f>IF(op!M308="","",op!M308)</f>
        <v>0</v>
      </c>
      <c r="N375" s="1051" t="str">
        <f t="shared" si="145"/>
        <v/>
      </c>
      <c r="O375" s="1051" t="str">
        <f t="shared" si="146"/>
        <v/>
      </c>
      <c r="P375" s="1125" t="str">
        <f t="shared" si="147"/>
        <v/>
      </c>
      <c r="Q375" s="472"/>
      <c r="R375" s="923" t="str">
        <f t="shared" si="162"/>
        <v/>
      </c>
      <c r="S375" s="923" t="str">
        <f t="shared" si="148"/>
        <v/>
      </c>
      <c r="T375" s="925" t="str">
        <f t="shared" si="149"/>
        <v/>
      </c>
      <c r="U375" s="545"/>
      <c r="V375" s="1103"/>
      <c r="W375" s="1103"/>
      <c r="X375" s="1060"/>
      <c r="Y375" s="1095" t="e">
        <f t="shared" si="150"/>
        <v>#VALUE!</v>
      </c>
      <c r="Z375" s="1094">
        <f>tab!$B$50</f>
        <v>0.6</v>
      </c>
      <c r="AA375" s="1126" t="e">
        <f t="shared" si="151"/>
        <v>#VALUE!</v>
      </c>
      <c r="AB375" s="1126" t="e">
        <f t="shared" si="152"/>
        <v>#VALUE!</v>
      </c>
      <c r="AC375" s="1126" t="e">
        <f t="shared" si="153"/>
        <v>#VALUE!</v>
      </c>
      <c r="AD375" s="1128" t="e">
        <f t="shared" si="154"/>
        <v>#VALUE!</v>
      </c>
      <c r="AE375" s="1128">
        <f t="shared" si="155"/>
        <v>0</v>
      </c>
      <c r="AF375" s="1096">
        <f>IF(H375&gt;8,tab!$B$51,tab!$B$54)</f>
        <v>0.5</v>
      </c>
      <c r="AG375" s="1097">
        <f t="shared" si="156"/>
        <v>0</v>
      </c>
      <c r="AH375" s="1093">
        <f t="shared" si="157"/>
        <v>0</v>
      </c>
      <c r="AI375" s="1120" t="e">
        <f>DATE(YEAR(tab!$G$3),MONTH(G375),DAY(G375))&gt;tab!$G$3</f>
        <v>#VALUE!</v>
      </c>
      <c r="AJ375" s="1097" t="e">
        <f t="shared" si="161"/>
        <v>#VALUE!</v>
      </c>
      <c r="AK375" s="1041">
        <f t="shared" si="158"/>
        <v>30</v>
      </c>
      <c r="AL375" s="1041">
        <f t="shared" si="159"/>
        <v>30</v>
      </c>
      <c r="AM375" s="1047">
        <f t="shared" si="160"/>
        <v>0</v>
      </c>
      <c r="AS375" s="727"/>
    </row>
    <row r="376" spans="3:45" ht="12.75" customHeight="1" x14ac:dyDescent="0.3">
      <c r="C376" s="122"/>
      <c r="D376" s="388" t="str">
        <f>IF(op!D309=0,"",op!D309)</f>
        <v/>
      </c>
      <c r="E376" s="388" t="str">
        <f>IF(op!E309=0,"-",op!E309)</f>
        <v/>
      </c>
      <c r="F376" s="684" t="str">
        <f>IF(op!F309="","",op!F309+1)</f>
        <v/>
      </c>
      <c r="G376" s="710" t="str">
        <f>IF(op!G309="","",op!G309)</f>
        <v/>
      </c>
      <c r="H376" s="684" t="str">
        <f>IF(op!H309=0,"",op!H309)</f>
        <v/>
      </c>
      <c r="I376" s="389" t="str">
        <f>IF(J376="","",(IF(op!I309+1&gt;LOOKUP(H376,schaal2019,regels2019),op!I309,op!I309+1)))</f>
        <v/>
      </c>
      <c r="J376" s="711" t="str">
        <f>IF(op!J309="","",op!J309)</f>
        <v/>
      </c>
      <c r="K376" s="472"/>
      <c r="L376" s="1049">
        <f>IF(op!L309="","",op!L309)</f>
        <v>0</v>
      </c>
      <c r="M376" s="1049">
        <f>IF(op!M309="","",op!M309)</f>
        <v>0</v>
      </c>
      <c r="N376" s="1051" t="str">
        <f t="shared" si="145"/>
        <v/>
      </c>
      <c r="O376" s="1051" t="str">
        <f t="shared" si="146"/>
        <v/>
      </c>
      <c r="P376" s="1125" t="str">
        <f t="shared" si="147"/>
        <v/>
      </c>
      <c r="Q376" s="472"/>
      <c r="R376" s="923" t="str">
        <f t="shared" si="162"/>
        <v/>
      </c>
      <c r="S376" s="923" t="str">
        <f t="shared" si="148"/>
        <v/>
      </c>
      <c r="T376" s="925" t="str">
        <f t="shared" si="149"/>
        <v/>
      </c>
      <c r="U376" s="545"/>
      <c r="V376" s="1103"/>
      <c r="W376" s="1103"/>
      <c r="X376" s="1060"/>
      <c r="Y376" s="1095" t="e">
        <f t="shared" si="150"/>
        <v>#VALUE!</v>
      </c>
      <c r="Z376" s="1094">
        <f>tab!$B$50</f>
        <v>0.6</v>
      </c>
      <c r="AA376" s="1126" t="e">
        <f t="shared" si="151"/>
        <v>#VALUE!</v>
      </c>
      <c r="AB376" s="1126" t="e">
        <f t="shared" si="152"/>
        <v>#VALUE!</v>
      </c>
      <c r="AC376" s="1126" t="e">
        <f t="shared" si="153"/>
        <v>#VALUE!</v>
      </c>
      <c r="AD376" s="1128" t="e">
        <f t="shared" si="154"/>
        <v>#VALUE!</v>
      </c>
      <c r="AE376" s="1128">
        <f t="shared" si="155"/>
        <v>0</v>
      </c>
      <c r="AF376" s="1096">
        <f>IF(H376&gt;8,tab!$B$51,tab!$B$54)</f>
        <v>0.5</v>
      </c>
      <c r="AG376" s="1097">
        <f t="shared" si="156"/>
        <v>0</v>
      </c>
      <c r="AH376" s="1093">
        <f t="shared" si="157"/>
        <v>0</v>
      </c>
      <c r="AI376" s="1120" t="e">
        <f>DATE(YEAR(tab!$G$3),MONTH(G376),DAY(G376))&gt;tab!$G$3</f>
        <v>#VALUE!</v>
      </c>
      <c r="AJ376" s="1097" t="e">
        <f t="shared" si="161"/>
        <v>#VALUE!</v>
      </c>
      <c r="AK376" s="1041">
        <f t="shared" si="158"/>
        <v>30</v>
      </c>
      <c r="AL376" s="1041">
        <f t="shared" si="159"/>
        <v>30</v>
      </c>
      <c r="AM376" s="1047">
        <f t="shared" si="160"/>
        <v>0</v>
      </c>
      <c r="AS376" s="727"/>
    </row>
    <row r="377" spans="3:45" ht="12.75" customHeight="1" x14ac:dyDescent="0.3">
      <c r="C377" s="122"/>
      <c r="D377" s="388" t="str">
        <f>IF(op!D310=0,"",op!D310)</f>
        <v/>
      </c>
      <c r="E377" s="388" t="str">
        <f>IF(op!E310=0,"-",op!E310)</f>
        <v/>
      </c>
      <c r="F377" s="684" t="str">
        <f>IF(op!F310="","",op!F310+1)</f>
        <v/>
      </c>
      <c r="G377" s="710" t="str">
        <f>IF(op!G310="","",op!G310)</f>
        <v/>
      </c>
      <c r="H377" s="684" t="str">
        <f>IF(op!H310=0,"",op!H310)</f>
        <v/>
      </c>
      <c r="I377" s="389" t="str">
        <f>IF(J377="","",(IF(op!I310+1&gt;LOOKUP(H377,schaal2019,regels2019),op!I310,op!I310+1)))</f>
        <v/>
      </c>
      <c r="J377" s="711" t="str">
        <f>IF(op!J310="","",op!J310)</f>
        <v/>
      </c>
      <c r="K377" s="472"/>
      <c r="L377" s="1049">
        <f>IF(op!L310="","",op!L310)</f>
        <v>0</v>
      </c>
      <c r="M377" s="1049">
        <f>IF(op!M310="","",op!M310)</f>
        <v>0</v>
      </c>
      <c r="N377" s="1051" t="str">
        <f t="shared" si="145"/>
        <v/>
      </c>
      <c r="O377" s="1051" t="str">
        <f t="shared" si="146"/>
        <v/>
      </c>
      <c r="P377" s="1125" t="str">
        <f t="shared" si="147"/>
        <v/>
      </c>
      <c r="Q377" s="472"/>
      <c r="R377" s="923" t="str">
        <f t="shared" si="162"/>
        <v/>
      </c>
      <c r="S377" s="923" t="str">
        <f t="shared" si="148"/>
        <v/>
      </c>
      <c r="T377" s="925" t="str">
        <f t="shared" si="149"/>
        <v/>
      </c>
      <c r="U377" s="545"/>
      <c r="V377" s="1103"/>
      <c r="W377" s="1103"/>
      <c r="X377" s="1060"/>
      <c r="Y377" s="1095" t="e">
        <f t="shared" si="150"/>
        <v>#VALUE!</v>
      </c>
      <c r="Z377" s="1094">
        <f>tab!$B$50</f>
        <v>0.6</v>
      </c>
      <c r="AA377" s="1126" t="e">
        <f t="shared" si="151"/>
        <v>#VALUE!</v>
      </c>
      <c r="AB377" s="1126" t="e">
        <f t="shared" si="152"/>
        <v>#VALUE!</v>
      </c>
      <c r="AC377" s="1126" t="e">
        <f t="shared" si="153"/>
        <v>#VALUE!</v>
      </c>
      <c r="AD377" s="1128" t="e">
        <f t="shared" si="154"/>
        <v>#VALUE!</v>
      </c>
      <c r="AE377" s="1128">
        <f t="shared" si="155"/>
        <v>0</v>
      </c>
      <c r="AF377" s="1096">
        <f>IF(H377&gt;8,tab!$B$51,tab!$B$54)</f>
        <v>0.5</v>
      </c>
      <c r="AG377" s="1097">
        <f t="shared" si="156"/>
        <v>0</v>
      </c>
      <c r="AH377" s="1093">
        <f t="shared" si="157"/>
        <v>0</v>
      </c>
      <c r="AI377" s="1120" t="e">
        <f>DATE(YEAR(tab!$G$3),MONTH(G377),DAY(G377))&gt;tab!$G$3</f>
        <v>#VALUE!</v>
      </c>
      <c r="AJ377" s="1097" t="e">
        <f t="shared" si="161"/>
        <v>#VALUE!</v>
      </c>
      <c r="AK377" s="1041">
        <f t="shared" si="158"/>
        <v>30</v>
      </c>
      <c r="AL377" s="1041">
        <f t="shared" si="159"/>
        <v>30</v>
      </c>
      <c r="AM377" s="1047">
        <f t="shared" si="160"/>
        <v>0</v>
      </c>
      <c r="AS377" s="727"/>
    </row>
    <row r="378" spans="3:45" ht="12.75" customHeight="1" x14ac:dyDescent="0.3">
      <c r="C378" s="122"/>
      <c r="D378" s="388" t="str">
        <f>IF(op!D311=0,"",op!D311)</f>
        <v/>
      </c>
      <c r="E378" s="388" t="str">
        <f>IF(op!E311=0,"-",op!E311)</f>
        <v/>
      </c>
      <c r="F378" s="684" t="str">
        <f>IF(op!F311="","",op!F311+1)</f>
        <v/>
      </c>
      <c r="G378" s="710" t="str">
        <f>IF(op!G311="","",op!G311)</f>
        <v/>
      </c>
      <c r="H378" s="684" t="str">
        <f>IF(op!H311=0,"",op!H311)</f>
        <v/>
      </c>
      <c r="I378" s="389" t="str">
        <f>IF(J378="","",(IF(op!I311+1&gt;LOOKUP(H378,schaal2019,regels2019),op!I311,op!I311+1)))</f>
        <v/>
      </c>
      <c r="J378" s="711" t="str">
        <f>IF(op!J311="","",op!J311)</f>
        <v/>
      </c>
      <c r="K378" s="472"/>
      <c r="L378" s="1049">
        <f>IF(op!L311="","",op!L311)</f>
        <v>0</v>
      </c>
      <c r="M378" s="1049">
        <f>IF(op!M311="","",op!M311)</f>
        <v>0</v>
      </c>
      <c r="N378" s="1051" t="str">
        <f t="shared" si="145"/>
        <v/>
      </c>
      <c r="O378" s="1051" t="str">
        <f t="shared" si="146"/>
        <v/>
      </c>
      <c r="P378" s="1125" t="str">
        <f t="shared" si="147"/>
        <v/>
      </c>
      <c r="Q378" s="472"/>
      <c r="R378" s="923" t="str">
        <f t="shared" si="162"/>
        <v/>
      </c>
      <c r="S378" s="923" t="str">
        <f t="shared" si="148"/>
        <v/>
      </c>
      <c r="T378" s="925" t="str">
        <f t="shared" si="149"/>
        <v/>
      </c>
      <c r="U378" s="545"/>
      <c r="V378" s="1103"/>
      <c r="W378" s="1103"/>
      <c r="X378" s="1060"/>
      <c r="Y378" s="1095" t="e">
        <f t="shared" si="150"/>
        <v>#VALUE!</v>
      </c>
      <c r="Z378" s="1094">
        <f>tab!$B$50</f>
        <v>0.6</v>
      </c>
      <c r="AA378" s="1126" t="e">
        <f t="shared" si="151"/>
        <v>#VALUE!</v>
      </c>
      <c r="AB378" s="1126" t="e">
        <f t="shared" si="152"/>
        <v>#VALUE!</v>
      </c>
      <c r="AC378" s="1126" t="e">
        <f t="shared" si="153"/>
        <v>#VALUE!</v>
      </c>
      <c r="AD378" s="1128" t="e">
        <f t="shared" si="154"/>
        <v>#VALUE!</v>
      </c>
      <c r="AE378" s="1128">
        <f t="shared" si="155"/>
        <v>0</v>
      </c>
      <c r="AF378" s="1096">
        <f>IF(H378&gt;8,tab!$B$51,tab!$B$54)</f>
        <v>0.5</v>
      </c>
      <c r="AG378" s="1097">
        <f t="shared" si="156"/>
        <v>0</v>
      </c>
      <c r="AH378" s="1093">
        <f t="shared" si="157"/>
        <v>0</v>
      </c>
      <c r="AI378" s="1120" t="e">
        <f>DATE(YEAR(tab!$G$3),MONTH(G378),DAY(G378))&gt;tab!$G$3</f>
        <v>#VALUE!</v>
      </c>
      <c r="AJ378" s="1097" t="e">
        <f t="shared" si="161"/>
        <v>#VALUE!</v>
      </c>
      <c r="AK378" s="1041">
        <f t="shared" si="158"/>
        <v>30</v>
      </c>
      <c r="AL378" s="1041">
        <f t="shared" si="159"/>
        <v>30</v>
      </c>
      <c r="AM378" s="1047">
        <f t="shared" si="160"/>
        <v>0</v>
      </c>
      <c r="AS378" s="727"/>
    </row>
    <row r="379" spans="3:45" ht="12.75" customHeight="1" x14ac:dyDescent="0.3">
      <c r="C379" s="122"/>
      <c r="D379" s="388" t="str">
        <f>IF(op!D312=0,"",op!D312)</f>
        <v/>
      </c>
      <c r="E379" s="388" t="str">
        <f>IF(op!E312=0,"-",op!E312)</f>
        <v/>
      </c>
      <c r="F379" s="684" t="str">
        <f>IF(op!F312="","",op!F312+1)</f>
        <v/>
      </c>
      <c r="G379" s="710" t="str">
        <f>IF(op!G312="","",op!G312)</f>
        <v/>
      </c>
      <c r="H379" s="684" t="str">
        <f>IF(op!H312=0,"",op!H312)</f>
        <v/>
      </c>
      <c r="I379" s="389" t="str">
        <f>IF(J379="","",(IF(op!I312+1&gt;LOOKUP(H379,schaal2019,regels2019),op!I312,op!I312+1)))</f>
        <v/>
      </c>
      <c r="J379" s="711" t="str">
        <f>IF(op!J312="","",op!J312)</f>
        <v/>
      </c>
      <c r="K379" s="472"/>
      <c r="L379" s="1049">
        <f>IF(op!L312="","",op!L312)</f>
        <v>0</v>
      </c>
      <c r="M379" s="1049">
        <f>IF(op!M312="","",op!M312)</f>
        <v>0</v>
      </c>
      <c r="N379" s="1051" t="str">
        <f t="shared" si="145"/>
        <v/>
      </c>
      <c r="O379" s="1051" t="str">
        <f t="shared" si="146"/>
        <v/>
      </c>
      <c r="P379" s="1125" t="str">
        <f t="shared" si="147"/>
        <v/>
      </c>
      <c r="Q379" s="472"/>
      <c r="R379" s="923" t="str">
        <f t="shared" si="162"/>
        <v/>
      </c>
      <c r="S379" s="923" t="str">
        <f t="shared" si="148"/>
        <v/>
      </c>
      <c r="T379" s="925" t="str">
        <f t="shared" si="149"/>
        <v/>
      </c>
      <c r="U379" s="545"/>
      <c r="V379" s="1103"/>
      <c r="W379" s="1103"/>
      <c r="X379" s="1060"/>
      <c r="Y379" s="1095" t="e">
        <f t="shared" si="150"/>
        <v>#VALUE!</v>
      </c>
      <c r="Z379" s="1094">
        <f>tab!$B$50</f>
        <v>0.6</v>
      </c>
      <c r="AA379" s="1126" t="e">
        <f t="shared" si="151"/>
        <v>#VALUE!</v>
      </c>
      <c r="AB379" s="1126" t="e">
        <f t="shared" si="152"/>
        <v>#VALUE!</v>
      </c>
      <c r="AC379" s="1126" t="e">
        <f t="shared" si="153"/>
        <v>#VALUE!</v>
      </c>
      <c r="AD379" s="1128" t="e">
        <f t="shared" si="154"/>
        <v>#VALUE!</v>
      </c>
      <c r="AE379" s="1128">
        <f t="shared" si="155"/>
        <v>0</v>
      </c>
      <c r="AF379" s="1096">
        <f>IF(H379&gt;8,tab!$B$51,tab!$B$54)</f>
        <v>0.5</v>
      </c>
      <c r="AG379" s="1097">
        <f t="shared" si="156"/>
        <v>0</v>
      </c>
      <c r="AH379" s="1093">
        <f t="shared" si="157"/>
        <v>0</v>
      </c>
      <c r="AI379" s="1120" t="e">
        <f>DATE(YEAR(tab!$G$3),MONTH(G379),DAY(G379))&gt;tab!$G$3</f>
        <v>#VALUE!</v>
      </c>
      <c r="AJ379" s="1097" t="e">
        <f t="shared" si="161"/>
        <v>#VALUE!</v>
      </c>
      <c r="AK379" s="1041">
        <f t="shared" si="158"/>
        <v>30</v>
      </c>
      <c r="AL379" s="1041">
        <f t="shared" si="159"/>
        <v>30</v>
      </c>
      <c r="AM379" s="1047">
        <f t="shared" si="160"/>
        <v>0</v>
      </c>
      <c r="AS379" s="727"/>
    </row>
    <row r="380" spans="3:45" ht="12.75" customHeight="1" x14ac:dyDescent="0.3">
      <c r="C380" s="122"/>
      <c r="D380" s="388" t="str">
        <f>IF(op!D313=0,"",op!D313)</f>
        <v/>
      </c>
      <c r="E380" s="388" t="str">
        <f>IF(op!E313=0,"-",op!E313)</f>
        <v/>
      </c>
      <c r="F380" s="684" t="str">
        <f>IF(op!F313="","",op!F313+1)</f>
        <v/>
      </c>
      <c r="G380" s="710" t="str">
        <f>IF(op!G313="","",op!G313)</f>
        <v/>
      </c>
      <c r="H380" s="684" t="str">
        <f>IF(op!H313=0,"",op!H313)</f>
        <v/>
      </c>
      <c r="I380" s="389" t="str">
        <f>IF(J380="","",(IF(op!I313+1&gt;LOOKUP(H380,schaal2019,regels2019),op!I313,op!I313+1)))</f>
        <v/>
      </c>
      <c r="J380" s="711" t="str">
        <f>IF(op!J313="","",op!J313)</f>
        <v/>
      </c>
      <c r="K380" s="472"/>
      <c r="L380" s="1049">
        <f>IF(op!L313="","",op!L313)</f>
        <v>0</v>
      </c>
      <c r="M380" s="1049">
        <f>IF(op!M313="","",op!M313)</f>
        <v>0</v>
      </c>
      <c r="N380" s="1051" t="str">
        <f t="shared" si="145"/>
        <v/>
      </c>
      <c r="O380" s="1051" t="str">
        <f t="shared" si="146"/>
        <v/>
      </c>
      <c r="P380" s="1125" t="str">
        <f t="shared" si="147"/>
        <v/>
      </c>
      <c r="Q380" s="472"/>
      <c r="R380" s="923" t="str">
        <f t="shared" si="162"/>
        <v/>
      </c>
      <c r="S380" s="923" t="str">
        <f t="shared" si="148"/>
        <v/>
      </c>
      <c r="T380" s="925" t="str">
        <f t="shared" si="149"/>
        <v/>
      </c>
      <c r="U380" s="545"/>
      <c r="V380" s="1103"/>
      <c r="W380" s="1103"/>
      <c r="X380" s="1060"/>
      <c r="Y380" s="1095" t="e">
        <f t="shared" si="150"/>
        <v>#VALUE!</v>
      </c>
      <c r="Z380" s="1094">
        <f>tab!$B$50</f>
        <v>0.6</v>
      </c>
      <c r="AA380" s="1126" t="e">
        <f t="shared" si="151"/>
        <v>#VALUE!</v>
      </c>
      <c r="AB380" s="1126" t="e">
        <f t="shared" si="152"/>
        <v>#VALUE!</v>
      </c>
      <c r="AC380" s="1126" t="e">
        <f t="shared" si="153"/>
        <v>#VALUE!</v>
      </c>
      <c r="AD380" s="1128" t="e">
        <f t="shared" si="154"/>
        <v>#VALUE!</v>
      </c>
      <c r="AE380" s="1128">
        <f t="shared" si="155"/>
        <v>0</v>
      </c>
      <c r="AF380" s="1096">
        <f>IF(H380&gt;8,tab!$B$51,tab!$B$54)</f>
        <v>0.5</v>
      </c>
      <c r="AG380" s="1097">
        <f t="shared" si="156"/>
        <v>0</v>
      </c>
      <c r="AH380" s="1093">
        <f t="shared" si="157"/>
        <v>0</v>
      </c>
      <c r="AI380" s="1120" t="e">
        <f>DATE(YEAR(tab!$G$3),MONTH(G380),DAY(G380))&gt;tab!$G$3</f>
        <v>#VALUE!</v>
      </c>
      <c r="AJ380" s="1097" t="e">
        <f t="shared" si="161"/>
        <v>#VALUE!</v>
      </c>
      <c r="AK380" s="1041">
        <f t="shared" si="158"/>
        <v>30</v>
      </c>
      <c r="AL380" s="1041">
        <f t="shared" si="159"/>
        <v>30</v>
      </c>
      <c r="AM380" s="1047">
        <f t="shared" si="160"/>
        <v>0</v>
      </c>
      <c r="AS380" s="727"/>
    </row>
    <row r="381" spans="3:45" ht="12.75" customHeight="1" x14ac:dyDescent="0.3">
      <c r="C381" s="122"/>
      <c r="D381" s="388" t="str">
        <f>IF(op!D314=0,"",op!D314)</f>
        <v/>
      </c>
      <c r="E381" s="388" t="str">
        <f>IF(op!E314=0,"-",op!E314)</f>
        <v/>
      </c>
      <c r="F381" s="684" t="str">
        <f>IF(op!F314="","",op!F314+1)</f>
        <v/>
      </c>
      <c r="G381" s="710" t="str">
        <f>IF(op!G314="","",op!G314)</f>
        <v/>
      </c>
      <c r="H381" s="684" t="str">
        <f>IF(op!H314=0,"",op!H314)</f>
        <v/>
      </c>
      <c r="I381" s="389" t="str">
        <f>IF(J381="","",(IF(op!I314+1&gt;LOOKUP(H381,schaal2019,regels2019),op!I314,op!I314+1)))</f>
        <v/>
      </c>
      <c r="J381" s="711" t="str">
        <f>IF(op!J314="","",op!J314)</f>
        <v/>
      </c>
      <c r="K381" s="472"/>
      <c r="L381" s="1049">
        <f>IF(op!L314="","",op!L314)</f>
        <v>0</v>
      </c>
      <c r="M381" s="1049">
        <f>IF(op!M314="","",op!M314)</f>
        <v>0</v>
      </c>
      <c r="N381" s="1051" t="str">
        <f t="shared" si="145"/>
        <v/>
      </c>
      <c r="O381" s="1051" t="str">
        <f t="shared" si="146"/>
        <v/>
      </c>
      <c r="P381" s="1125" t="str">
        <f t="shared" si="147"/>
        <v/>
      </c>
      <c r="Q381" s="472"/>
      <c r="R381" s="923" t="str">
        <f t="shared" si="162"/>
        <v/>
      </c>
      <c r="S381" s="923" t="str">
        <f t="shared" si="148"/>
        <v/>
      </c>
      <c r="T381" s="925" t="str">
        <f t="shared" si="149"/>
        <v/>
      </c>
      <c r="U381" s="545"/>
      <c r="V381" s="1103"/>
      <c r="W381" s="1103"/>
      <c r="X381" s="1060"/>
      <c r="Y381" s="1095" t="e">
        <f t="shared" si="150"/>
        <v>#VALUE!</v>
      </c>
      <c r="Z381" s="1094">
        <f>tab!$B$50</f>
        <v>0.6</v>
      </c>
      <c r="AA381" s="1126" t="e">
        <f t="shared" si="151"/>
        <v>#VALUE!</v>
      </c>
      <c r="AB381" s="1126" t="e">
        <f t="shared" si="152"/>
        <v>#VALUE!</v>
      </c>
      <c r="AC381" s="1126" t="e">
        <f t="shared" si="153"/>
        <v>#VALUE!</v>
      </c>
      <c r="AD381" s="1128" t="e">
        <f t="shared" si="154"/>
        <v>#VALUE!</v>
      </c>
      <c r="AE381" s="1128">
        <f t="shared" si="155"/>
        <v>0</v>
      </c>
      <c r="AF381" s="1096">
        <f>IF(H381&gt;8,tab!$B$51,tab!$B$54)</f>
        <v>0.5</v>
      </c>
      <c r="AG381" s="1097">
        <f t="shared" si="156"/>
        <v>0</v>
      </c>
      <c r="AH381" s="1093">
        <f t="shared" si="157"/>
        <v>0</v>
      </c>
      <c r="AI381" s="1120" t="e">
        <f>DATE(YEAR(tab!$G$3),MONTH(G381),DAY(G381))&gt;tab!$G$3</f>
        <v>#VALUE!</v>
      </c>
      <c r="AJ381" s="1097" t="e">
        <f t="shared" si="161"/>
        <v>#VALUE!</v>
      </c>
      <c r="AK381" s="1041">
        <f t="shared" si="158"/>
        <v>30</v>
      </c>
      <c r="AL381" s="1041">
        <f t="shared" si="159"/>
        <v>30</v>
      </c>
      <c r="AM381" s="1047">
        <f t="shared" si="160"/>
        <v>0</v>
      </c>
      <c r="AS381" s="727"/>
    </row>
    <row r="382" spans="3:45" ht="12.75" customHeight="1" x14ac:dyDescent="0.3">
      <c r="C382" s="122"/>
      <c r="D382" s="388" t="str">
        <f>IF(op!D315=0,"",op!D315)</f>
        <v/>
      </c>
      <c r="E382" s="388" t="str">
        <f>IF(op!E315=0,"-",op!E315)</f>
        <v/>
      </c>
      <c r="F382" s="684" t="str">
        <f>IF(op!F315="","",op!F315+1)</f>
        <v/>
      </c>
      <c r="G382" s="710" t="str">
        <f>IF(op!G315="","",op!G315)</f>
        <v/>
      </c>
      <c r="H382" s="684" t="str">
        <f>IF(op!H315=0,"",op!H315)</f>
        <v/>
      </c>
      <c r="I382" s="389" t="str">
        <f>IF(J382="","",(IF(op!I315+1&gt;LOOKUP(H382,schaal2019,regels2019),op!I315,op!I315+1)))</f>
        <v/>
      </c>
      <c r="J382" s="711" t="str">
        <f>IF(op!J315="","",op!J315)</f>
        <v/>
      </c>
      <c r="K382" s="472"/>
      <c r="L382" s="1049">
        <f>IF(op!L315="","",op!L315)</f>
        <v>0</v>
      </c>
      <c r="M382" s="1049">
        <f>IF(op!M315="","",op!M315)</f>
        <v>0</v>
      </c>
      <c r="N382" s="1051" t="str">
        <f t="shared" si="145"/>
        <v/>
      </c>
      <c r="O382" s="1051" t="str">
        <f t="shared" si="146"/>
        <v/>
      </c>
      <c r="P382" s="1125" t="str">
        <f t="shared" si="147"/>
        <v/>
      </c>
      <c r="Q382" s="472"/>
      <c r="R382" s="923" t="str">
        <f t="shared" si="162"/>
        <v/>
      </c>
      <c r="S382" s="923" t="str">
        <f t="shared" si="148"/>
        <v/>
      </c>
      <c r="T382" s="925" t="str">
        <f t="shared" si="149"/>
        <v/>
      </c>
      <c r="U382" s="545"/>
      <c r="V382" s="1103"/>
      <c r="W382" s="1103"/>
      <c r="X382" s="1060"/>
      <c r="Y382" s="1095" t="e">
        <f t="shared" si="150"/>
        <v>#VALUE!</v>
      </c>
      <c r="Z382" s="1094">
        <f>tab!$B$50</f>
        <v>0.6</v>
      </c>
      <c r="AA382" s="1126" t="e">
        <f t="shared" si="151"/>
        <v>#VALUE!</v>
      </c>
      <c r="AB382" s="1126" t="e">
        <f t="shared" si="152"/>
        <v>#VALUE!</v>
      </c>
      <c r="AC382" s="1126" t="e">
        <f t="shared" si="153"/>
        <v>#VALUE!</v>
      </c>
      <c r="AD382" s="1128" t="e">
        <f t="shared" si="154"/>
        <v>#VALUE!</v>
      </c>
      <c r="AE382" s="1128">
        <f t="shared" si="155"/>
        <v>0</v>
      </c>
      <c r="AF382" s="1096">
        <f>IF(H382&gt;8,tab!$B$51,tab!$B$54)</f>
        <v>0.5</v>
      </c>
      <c r="AG382" s="1097">
        <f t="shared" si="156"/>
        <v>0</v>
      </c>
      <c r="AH382" s="1093">
        <f t="shared" si="157"/>
        <v>0</v>
      </c>
      <c r="AI382" s="1120" t="e">
        <f>DATE(YEAR(tab!$G$3),MONTH(G382),DAY(G382))&gt;tab!$G$3</f>
        <v>#VALUE!</v>
      </c>
      <c r="AJ382" s="1097" t="e">
        <f t="shared" si="161"/>
        <v>#VALUE!</v>
      </c>
      <c r="AK382" s="1041">
        <f t="shared" si="158"/>
        <v>30</v>
      </c>
      <c r="AL382" s="1041">
        <f t="shared" si="159"/>
        <v>30</v>
      </c>
      <c r="AM382" s="1047">
        <f t="shared" si="160"/>
        <v>0</v>
      </c>
      <c r="AS382" s="727"/>
    </row>
    <row r="383" spans="3:45" ht="12.75" customHeight="1" x14ac:dyDescent="0.3">
      <c r="C383" s="122"/>
      <c r="D383" s="388" t="str">
        <f>IF(op!D316=0,"",op!D316)</f>
        <v/>
      </c>
      <c r="E383" s="388" t="str">
        <f>IF(op!E316=0,"-",op!E316)</f>
        <v/>
      </c>
      <c r="F383" s="684" t="str">
        <f>IF(op!F316="","",op!F316+1)</f>
        <v/>
      </c>
      <c r="G383" s="710" t="str">
        <f>IF(op!G316="","",op!G316)</f>
        <v/>
      </c>
      <c r="H383" s="684" t="str">
        <f>IF(op!H316=0,"",op!H316)</f>
        <v/>
      </c>
      <c r="I383" s="389" t="str">
        <f>IF(J383="","",(IF(op!I316+1&gt;LOOKUP(H383,schaal2019,regels2019),op!I316,op!I316+1)))</f>
        <v/>
      </c>
      <c r="J383" s="711" t="str">
        <f>IF(op!J316="","",op!J316)</f>
        <v/>
      </c>
      <c r="K383" s="472"/>
      <c r="L383" s="1049">
        <f>IF(op!L316="","",op!L316)</f>
        <v>0</v>
      </c>
      <c r="M383" s="1049">
        <f>IF(op!M316="","",op!M316)</f>
        <v>0</v>
      </c>
      <c r="N383" s="1051" t="str">
        <f t="shared" si="145"/>
        <v/>
      </c>
      <c r="O383" s="1051" t="str">
        <f t="shared" si="146"/>
        <v/>
      </c>
      <c r="P383" s="1125" t="str">
        <f t="shared" si="147"/>
        <v/>
      </c>
      <c r="Q383" s="472"/>
      <c r="R383" s="923" t="str">
        <f t="shared" si="162"/>
        <v/>
      </c>
      <c r="S383" s="923" t="str">
        <f t="shared" si="148"/>
        <v/>
      </c>
      <c r="T383" s="925" t="str">
        <f t="shared" si="149"/>
        <v/>
      </c>
      <c r="U383" s="545"/>
      <c r="V383" s="1103"/>
      <c r="W383" s="1103"/>
      <c r="X383" s="1060"/>
      <c r="Y383" s="1095" t="e">
        <f t="shared" si="150"/>
        <v>#VALUE!</v>
      </c>
      <c r="Z383" s="1094">
        <f>tab!$B$50</f>
        <v>0.6</v>
      </c>
      <c r="AA383" s="1126" t="e">
        <f t="shared" si="151"/>
        <v>#VALUE!</v>
      </c>
      <c r="AB383" s="1126" t="e">
        <f t="shared" si="152"/>
        <v>#VALUE!</v>
      </c>
      <c r="AC383" s="1126" t="e">
        <f t="shared" si="153"/>
        <v>#VALUE!</v>
      </c>
      <c r="AD383" s="1128" t="e">
        <f t="shared" si="154"/>
        <v>#VALUE!</v>
      </c>
      <c r="AE383" s="1128">
        <f t="shared" si="155"/>
        <v>0</v>
      </c>
      <c r="AF383" s="1096">
        <f>IF(H383&gt;8,tab!$B$51,tab!$B$54)</f>
        <v>0.5</v>
      </c>
      <c r="AG383" s="1097">
        <f t="shared" si="156"/>
        <v>0</v>
      </c>
      <c r="AH383" s="1093">
        <f t="shared" si="157"/>
        <v>0</v>
      </c>
      <c r="AI383" s="1120" t="e">
        <f>DATE(YEAR(tab!$G$3),MONTH(G383),DAY(G383))&gt;tab!$G$3</f>
        <v>#VALUE!</v>
      </c>
      <c r="AJ383" s="1097" t="e">
        <f t="shared" si="161"/>
        <v>#VALUE!</v>
      </c>
      <c r="AK383" s="1041">
        <f t="shared" si="158"/>
        <v>30</v>
      </c>
      <c r="AL383" s="1041">
        <f t="shared" si="159"/>
        <v>30</v>
      </c>
      <c r="AM383" s="1047">
        <f t="shared" si="160"/>
        <v>0</v>
      </c>
      <c r="AS383" s="727"/>
    </row>
    <row r="384" spans="3:45" ht="12.75" customHeight="1" x14ac:dyDescent="0.3">
      <c r="C384" s="122"/>
      <c r="D384" s="388" t="str">
        <f>IF(op!D317=0,"",op!D317)</f>
        <v/>
      </c>
      <c r="E384" s="388" t="str">
        <f>IF(op!E317=0,"-",op!E317)</f>
        <v/>
      </c>
      <c r="F384" s="684" t="str">
        <f>IF(op!F317="","",op!F317+1)</f>
        <v/>
      </c>
      <c r="G384" s="710" t="str">
        <f>IF(op!G317="","",op!G317)</f>
        <v/>
      </c>
      <c r="H384" s="684" t="str">
        <f>IF(op!H317=0,"",op!H317)</f>
        <v/>
      </c>
      <c r="I384" s="389" t="str">
        <f>IF(J384="","",(IF(op!I317+1&gt;LOOKUP(H384,schaal2019,regels2019),op!I317,op!I317+1)))</f>
        <v/>
      </c>
      <c r="J384" s="711" t="str">
        <f>IF(op!J317="","",op!J317)</f>
        <v/>
      </c>
      <c r="K384" s="472"/>
      <c r="L384" s="1049">
        <f>IF(op!L317="","",op!L317)</f>
        <v>0</v>
      </c>
      <c r="M384" s="1049">
        <f>IF(op!M317="","",op!M317)</f>
        <v>0</v>
      </c>
      <c r="N384" s="1051" t="str">
        <f t="shared" si="145"/>
        <v/>
      </c>
      <c r="O384" s="1051" t="str">
        <f t="shared" si="146"/>
        <v/>
      </c>
      <c r="P384" s="1125" t="str">
        <f t="shared" si="147"/>
        <v/>
      </c>
      <c r="Q384" s="472"/>
      <c r="R384" s="923" t="str">
        <f t="shared" si="162"/>
        <v/>
      </c>
      <c r="S384" s="923" t="str">
        <f t="shared" si="148"/>
        <v/>
      </c>
      <c r="T384" s="925" t="str">
        <f t="shared" si="149"/>
        <v/>
      </c>
      <c r="U384" s="545"/>
      <c r="V384" s="1103"/>
      <c r="W384" s="1103"/>
      <c r="X384" s="1060"/>
      <c r="Y384" s="1095" t="e">
        <f t="shared" si="150"/>
        <v>#VALUE!</v>
      </c>
      <c r="Z384" s="1094">
        <f>tab!$B$50</f>
        <v>0.6</v>
      </c>
      <c r="AA384" s="1126" t="e">
        <f t="shared" si="151"/>
        <v>#VALUE!</v>
      </c>
      <c r="AB384" s="1126" t="e">
        <f t="shared" si="152"/>
        <v>#VALUE!</v>
      </c>
      <c r="AC384" s="1126" t="e">
        <f t="shared" si="153"/>
        <v>#VALUE!</v>
      </c>
      <c r="AD384" s="1128" t="e">
        <f t="shared" si="154"/>
        <v>#VALUE!</v>
      </c>
      <c r="AE384" s="1128">
        <f t="shared" si="155"/>
        <v>0</v>
      </c>
      <c r="AF384" s="1096">
        <f>IF(H384&gt;8,tab!$B$51,tab!$B$54)</f>
        <v>0.5</v>
      </c>
      <c r="AG384" s="1097">
        <f t="shared" si="156"/>
        <v>0</v>
      </c>
      <c r="AH384" s="1093">
        <f t="shared" si="157"/>
        <v>0</v>
      </c>
      <c r="AI384" s="1120" t="e">
        <f>DATE(YEAR(tab!$G$3),MONTH(G384),DAY(G384))&gt;tab!$G$3</f>
        <v>#VALUE!</v>
      </c>
      <c r="AJ384" s="1097" t="e">
        <f t="shared" si="161"/>
        <v>#VALUE!</v>
      </c>
      <c r="AK384" s="1041">
        <f t="shared" si="158"/>
        <v>30</v>
      </c>
      <c r="AL384" s="1041">
        <f t="shared" si="159"/>
        <v>30</v>
      </c>
      <c r="AM384" s="1047">
        <f t="shared" si="160"/>
        <v>0</v>
      </c>
      <c r="AS384" s="727"/>
    </row>
    <row r="385" spans="3:45" ht="12.75" customHeight="1" x14ac:dyDescent="0.3">
      <c r="C385" s="122"/>
      <c r="D385" s="388" t="str">
        <f>IF(op!D318=0,"",op!D318)</f>
        <v/>
      </c>
      <c r="E385" s="388" t="str">
        <f>IF(op!E318=0,"-",op!E318)</f>
        <v/>
      </c>
      <c r="F385" s="684" t="str">
        <f>IF(op!F318="","",op!F318+1)</f>
        <v/>
      </c>
      <c r="G385" s="710" t="str">
        <f>IF(op!G318="","",op!G318)</f>
        <v/>
      </c>
      <c r="H385" s="684" t="str">
        <f>IF(op!H318=0,"",op!H318)</f>
        <v/>
      </c>
      <c r="I385" s="389" t="str">
        <f>IF(J385="","",(IF(op!I318+1&gt;LOOKUP(H385,schaal2019,regels2019),op!I318,op!I318+1)))</f>
        <v/>
      </c>
      <c r="J385" s="711" t="str">
        <f>IF(op!J318="","",op!J318)</f>
        <v/>
      </c>
      <c r="K385" s="472"/>
      <c r="L385" s="1049">
        <f>IF(op!L318="","",op!L318)</f>
        <v>0</v>
      </c>
      <c r="M385" s="1049">
        <f>IF(op!M318="","",op!M318)</f>
        <v>0</v>
      </c>
      <c r="N385" s="1051" t="str">
        <f t="shared" si="145"/>
        <v/>
      </c>
      <c r="O385" s="1051" t="str">
        <f t="shared" si="146"/>
        <v/>
      </c>
      <c r="P385" s="1125" t="str">
        <f t="shared" si="147"/>
        <v/>
      </c>
      <c r="Q385" s="472"/>
      <c r="R385" s="923" t="str">
        <f t="shared" si="162"/>
        <v/>
      </c>
      <c r="S385" s="923" t="str">
        <f t="shared" si="148"/>
        <v/>
      </c>
      <c r="T385" s="925" t="str">
        <f t="shared" si="149"/>
        <v/>
      </c>
      <c r="U385" s="545"/>
      <c r="V385" s="1103"/>
      <c r="W385" s="1103"/>
      <c r="X385" s="1060"/>
      <c r="Y385" s="1095" t="e">
        <f t="shared" ref="Y385:Y407" si="163">ROUND(5/12*VLOOKUP(H385,salaris2021,I385+1,FALSE)+7/12*VLOOKUP(H385,salaris2021,I385+1,FALSE),0)</f>
        <v>#VALUE!</v>
      </c>
      <c r="Z385" s="1094">
        <f>tab!$B$50</f>
        <v>0.6</v>
      </c>
      <c r="AA385" s="1126" t="e">
        <f t="shared" si="151"/>
        <v>#VALUE!</v>
      </c>
      <c r="AB385" s="1126" t="e">
        <f t="shared" si="152"/>
        <v>#VALUE!</v>
      </c>
      <c r="AC385" s="1126" t="e">
        <f t="shared" si="153"/>
        <v>#VALUE!</v>
      </c>
      <c r="AD385" s="1128" t="e">
        <f t="shared" si="154"/>
        <v>#VALUE!</v>
      </c>
      <c r="AE385" s="1128">
        <f t="shared" si="155"/>
        <v>0</v>
      </c>
      <c r="AF385" s="1096">
        <f>IF(H385&gt;8,tab!$B$51,tab!$B$54)</f>
        <v>0.5</v>
      </c>
      <c r="AG385" s="1097">
        <f t="shared" si="156"/>
        <v>0</v>
      </c>
      <c r="AH385" s="1093">
        <f t="shared" si="157"/>
        <v>0</v>
      </c>
      <c r="AI385" s="1120" t="e">
        <f>DATE(YEAR(tab!$G$3),MONTH(G385),DAY(G385))&gt;tab!$G$3</f>
        <v>#VALUE!</v>
      </c>
      <c r="AJ385" s="1097" t="e">
        <f t="shared" si="161"/>
        <v>#VALUE!</v>
      </c>
      <c r="AK385" s="1041">
        <f t="shared" si="158"/>
        <v>30</v>
      </c>
      <c r="AL385" s="1041">
        <f t="shared" si="159"/>
        <v>30</v>
      </c>
      <c r="AM385" s="1047">
        <f t="shared" si="160"/>
        <v>0</v>
      </c>
      <c r="AS385" s="727"/>
    </row>
    <row r="386" spans="3:45" ht="12.75" customHeight="1" x14ac:dyDescent="0.3">
      <c r="C386" s="122"/>
      <c r="D386" s="388" t="str">
        <f>IF(op!D319=0,"",op!D319)</f>
        <v/>
      </c>
      <c r="E386" s="388" t="str">
        <f>IF(op!E319=0,"-",op!E319)</f>
        <v/>
      </c>
      <c r="F386" s="684" t="str">
        <f>IF(op!F319="","",op!F319+1)</f>
        <v/>
      </c>
      <c r="G386" s="710" t="str">
        <f>IF(op!G319="","",op!G319)</f>
        <v/>
      </c>
      <c r="H386" s="684" t="str">
        <f>IF(op!H319=0,"",op!H319)</f>
        <v/>
      </c>
      <c r="I386" s="389" t="str">
        <f>IF(J386="","",(IF(op!I319+1&gt;LOOKUP(H386,schaal2019,regels2019),op!I319,op!I319+1)))</f>
        <v/>
      </c>
      <c r="J386" s="711" t="str">
        <f>IF(op!J319="","",op!J319)</f>
        <v/>
      </c>
      <c r="K386" s="472"/>
      <c r="L386" s="1049">
        <f>IF(op!L319="","",op!L319)</f>
        <v>0</v>
      </c>
      <c r="M386" s="1049">
        <f>IF(op!M319="","",op!M319)</f>
        <v>0</v>
      </c>
      <c r="N386" s="1051" t="str">
        <f t="shared" si="145"/>
        <v/>
      </c>
      <c r="O386" s="1051" t="str">
        <f t="shared" si="146"/>
        <v/>
      </c>
      <c r="P386" s="1125" t="str">
        <f t="shared" si="147"/>
        <v/>
      </c>
      <c r="Q386" s="472"/>
      <c r="R386" s="923" t="str">
        <f t="shared" si="162"/>
        <v/>
      </c>
      <c r="S386" s="923" t="str">
        <f t="shared" si="148"/>
        <v/>
      </c>
      <c r="T386" s="925" t="str">
        <f t="shared" si="149"/>
        <v/>
      </c>
      <c r="U386" s="545"/>
      <c r="V386" s="1103"/>
      <c r="W386" s="1103"/>
      <c r="X386" s="1060"/>
      <c r="Y386" s="1095" t="e">
        <f t="shared" si="163"/>
        <v>#VALUE!</v>
      </c>
      <c r="Z386" s="1094">
        <f>tab!$B$50</f>
        <v>0.6</v>
      </c>
      <c r="AA386" s="1126" t="e">
        <f t="shared" si="151"/>
        <v>#VALUE!</v>
      </c>
      <c r="AB386" s="1126" t="e">
        <f t="shared" si="152"/>
        <v>#VALUE!</v>
      </c>
      <c r="AC386" s="1126" t="e">
        <f t="shared" si="153"/>
        <v>#VALUE!</v>
      </c>
      <c r="AD386" s="1128" t="e">
        <f t="shared" si="154"/>
        <v>#VALUE!</v>
      </c>
      <c r="AE386" s="1128">
        <f t="shared" si="155"/>
        <v>0</v>
      </c>
      <c r="AF386" s="1096">
        <f>IF(H386&gt;8,tab!$B$51,tab!$B$54)</f>
        <v>0.5</v>
      </c>
      <c r="AG386" s="1097">
        <f t="shared" si="156"/>
        <v>0</v>
      </c>
      <c r="AH386" s="1093">
        <f t="shared" si="157"/>
        <v>0</v>
      </c>
      <c r="AI386" s="1120" t="e">
        <f>DATE(YEAR(tab!$G$3),MONTH(G386),DAY(G386))&gt;tab!$G$3</f>
        <v>#VALUE!</v>
      </c>
      <c r="AJ386" s="1097" t="e">
        <f t="shared" si="161"/>
        <v>#VALUE!</v>
      </c>
      <c r="AK386" s="1041">
        <f t="shared" si="158"/>
        <v>30</v>
      </c>
      <c r="AL386" s="1041">
        <f t="shared" si="159"/>
        <v>30</v>
      </c>
      <c r="AM386" s="1047">
        <f t="shared" si="160"/>
        <v>0</v>
      </c>
      <c r="AS386" s="727"/>
    </row>
    <row r="387" spans="3:45" ht="12.75" customHeight="1" x14ac:dyDescent="0.3">
      <c r="C387" s="122"/>
      <c r="D387" s="388" t="str">
        <f>IF(op!D320=0,"",op!D320)</f>
        <v/>
      </c>
      <c r="E387" s="388" t="str">
        <f>IF(op!E320=0,"-",op!E320)</f>
        <v/>
      </c>
      <c r="F387" s="684" t="str">
        <f>IF(op!F320="","",op!F320+1)</f>
        <v/>
      </c>
      <c r="G387" s="710" t="str">
        <f>IF(op!G320="","",op!G320)</f>
        <v/>
      </c>
      <c r="H387" s="684" t="str">
        <f>IF(op!H320=0,"",op!H320)</f>
        <v/>
      </c>
      <c r="I387" s="389" t="str">
        <f>IF(J387="","",(IF(op!I320+1&gt;LOOKUP(H387,schaal2019,regels2019),op!I320,op!I320+1)))</f>
        <v/>
      </c>
      <c r="J387" s="711" t="str">
        <f>IF(op!J320="","",op!J320)</f>
        <v/>
      </c>
      <c r="K387" s="472"/>
      <c r="L387" s="1049">
        <f>IF(op!L320="","",op!L320)</f>
        <v>0</v>
      </c>
      <c r="M387" s="1049">
        <f>IF(op!M320="","",op!M320)</f>
        <v>0</v>
      </c>
      <c r="N387" s="1051" t="str">
        <f t="shared" si="145"/>
        <v/>
      </c>
      <c r="O387" s="1051" t="str">
        <f t="shared" si="146"/>
        <v/>
      </c>
      <c r="P387" s="1125" t="str">
        <f t="shared" si="147"/>
        <v/>
      </c>
      <c r="Q387" s="472"/>
      <c r="R387" s="923" t="str">
        <f t="shared" si="162"/>
        <v/>
      </c>
      <c r="S387" s="923" t="str">
        <f t="shared" si="148"/>
        <v/>
      </c>
      <c r="T387" s="925" t="str">
        <f t="shared" si="149"/>
        <v/>
      </c>
      <c r="U387" s="545"/>
      <c r="V387" s="1103"/>
      <c r="W387" s="1103"/>
      <c r="X387" s="1060"/>
      <c r="Y387" s="1095" t="e">
        <f t="shared" si="163"/>
        <v>#VALUE!</v>
      </c>
      <c r="Z387" s="1094">
        <f>tab!$B$50</f>
        <v>0.6</v>
      </c>
      <c r="AA387" s="1126" t="e">
        <f t="shared" si="151"/>
        <v>#VALUE!</v>
      </c>
      <c r="AB387" s="1126" t="e">
        <f t="shared" si="152"/>
        <v>#VALUE!</v>
      </c>
      <c r="AC387" s="1126" t="e">
        <f t="shared" si="153"/>
        <v>#VALUE!</v>
      </c>
      <c r="AD387" s="1128" t="e">
        <f t="shared" si="154"/>
        <v>#VALUE!</v>
      </c>
      <c r="AE387" s="1128">
        <f t="shared" si="155"/>
        <v>0</v>
      </c>
      <c r="AF387" s="1096">
        <f>IF(H387&gt;8,tab!$B$51,tab!$B$54)</f>
        <v>0.5</v>
      </c>
      <c r="AG387" s="1097">
        <f t="shared" si="156"/>
        <v>0</v>
      </c>
      <c r="AH387" s="1093">
        <f t="shared" si="157"/>
        <v>0</v>
      </c>
      <c r="AI387" s="1120" t="e">
        <f>DATE(YEAR(tab!$G$3),MONTH(G387),DAY(G387))&gt;tab!$G$3</f>
        <v>#VALUE!</v>
      </c>
      <c r="AJ387" s="1097" t="e">
        <f t="shared" si="161"/>
        <v>#VALUE!</v>
      </c>
      <c r="AK387" s="1041">
        <f t="shared" si="158"/>
        <v>30</v>
      </c>
      <c r="AL387" s="1041">
        <f t="shared" si="159"/>
        <v>30</v>
      </c>
      <c r="AM387" s="1047">
        <f t="shared" si="160"/>
        <v>0</v>
      </c>
      <c r="AS387" s="727"/>
    </row>
    <row r="388" spans="3:45" ht="12.75" customHeight="1" x14ac:dyDescent="0.3">
      <c r="C388" s="122"/>
      <c r="D388" s="388" t="str">
        <f>IF(op!D321=0,"",op!D321)</f>
        <v/>
      </c>
      <c r="E388" s="388" t="str">
        <f>IF(op!E321=0,"-",op!E321)</f>
        <v/>
      </c>
      <c r="F388" s="684" t="str">
        <f>IF(op!F321="","",op!F321+1)</f>
        <v/>
      </c>
      <c r="G388" s="710" t="str">
        <f>IF(op!G321="","",op!G321)</f>
        <v/>
      </c>
      <c r="H388" s="684" t="str">
        <f>IF(op!H321=0,"",op!H321)</f>
        <v/>
      </c>
      <c r="I388" s="389" t="str">
        <f>IF(J388="","",(IF(op!I321+1&gt;LOOKUP(H388,schaal2019,regels2019),op!I321,op!I321+1)))</f>
        <v/>
      </c>
      <c r="J388" s="711" t="str">
        <f>IF(op!J321="","",op!J321)</f>
        <v/>
      </c>
      <c r="K388" s="472"/>
      <c r="L388" s="1049">
        <f>IF(op!L321="","",op!L321)</f>
        <v>0</v>
      </c>
      <c r="M388" s="1049">
        <f>IF(op!M321="","",op!M321)</f>
        <v>0</v>
      </c>
      <c r="N388" s="1051" t="str">
        <f t="shared" si="145"/>
        <v/>
      </c>
      <c r="O388" s="1051" t="str">
        <f t="shared" si="146"/>
        <v/>
      </c>
      <c r="P388" s="1125" t="str">
        <f t="shared" si="147"/>
        <v/>
      </c>
      <c r="Q388" s="472"/>
      <c r="R388" s="923" t="str">
        <f t="shared" si="162"/>
        <v/>
      </c>
      <c r="S388" s="923" t="str">
        <f t="shared" si="148"/>
        <v/>
      </c>
      <c r="T388" s="925" t="str">
        <f t="shared" si="149"/>
        <v/>
      </c>
      <c r="U388" s="545"/>
      <c r="V388" s="1103"/>
      <c r="W388" s="1103"/>
      <c r="X388" s="1060"/>
      <c r="Y388" s="1095" t="e">
        <f t="shared" si="163"/>
        <v>#VALUE!</v>
      </c>
      <c r="Z388" s="1094">
        <f>tab!$B$50</f>
        <v>0.6</v>
      </c>
      <c r="AA388" s="1126" t="e">
        <f t="shared" si="151"/>
        <v>#VALUE!</v>
      </c>
      <c r="AB388" s="1126" t="e">
        <f t="shared" si="152"/>
        <v>#VALUE!</v>
      </c>
      <c r="AC388" s="1126" t="e">
        <f t="shared" si="153"/>
        <v>#VALUE!</v>
      </c>
      <c r="AD388" s="1128" t="e">
        <f t="shared" si="154"/>
        <v>#VALUE!</v>
      </c>
      <c r="AE388" s="1128">
        <f t="shared" si="155"/>
        <v>0</v>
      </c>
      <c r="AF388" s="1096">
        <f>IF(H388&gt;8,tab!$B$51,tab!$B$54)</f>
        <v>0.5</v>
      </c>
      <c r="AG388" s="1097">
        <f t="shared" si="156"/>
        <v>0</v>
      </c>
      <c r="AH388" s="1093">
        <f t="shared" si="157"/>
        <v>0</v>
      </c>
      <c r="AI388" s="1120" t="e">
        <f>DATE(YEAR(tab!$G$3),MONTH(G388),DAY(G388))&gt;tab!$G$3</f>
        <v>#VALUE!</v>
      </c>
      <c r="AJ388" s="1097" t="e">
        <f t="shared" si="161"/>
        <v>#VALUE!</v>
      </c>
      <c r="AK388" s="1041">
        <f t="shared" si="158"/>
        <v>30</v>
      </c>
      <c r="AL388" s="1041">
        <f t="shared" si="159"/>
        <v>30</v>
      </c>
      <c r="AM388" s="1047">
        <f t="shared" si="160"/>
        <v>0</v>
      </c>
      <c r="AS388" s="727"/>
    </row>
    <row r="389" spans="3:45" ht="12.75" customHeight="1" x14ac:dyDescent="0.3">
      <c r="C389" s="122"/>
      <c r="D389" s="388" t="str">
        <f>IF(op!D322=0,"",op!D322)</f>
        <v/>
      </c>
      <c r="E389" s="388" t="str">
        <f>IF(op!E322=0,"-",op!E322)</f>
        <v/>
      </c>
      <c r="F389" s="684" t="str">
        <f>IF(op!F322="","",op!F322+1)</f>
        <v/>
      </c>
      <c r="G389" s="710" t="str">
        <f>IF(op!G322="","",op!G322)</f>
        <v/>
      </c>
      <c r="H389" s="684" t="str">
        <f>IF(op!H322=0,"",op!H322)</f>
        <v/>
      </c>
      <c r="I389" s="389" t="str">
        <f>IF(J389="","",(IF(op!I322+1&gt;LOOKUP(H389,schaal2019,regels2019),op!I322,op!I322+1)))</f>
        <v/>
      </c>
      <c r="J389" s="711" t="str">
        <f>IF(op!J322="","",op!J322)</f>
        <v/>
      </c>
      <c r="K389" s="472"/>
      <c r="L389" s="1049">
        <f>IF(op!L322="","",op!L322)</f>
        <v>0</v>
      </c>
      <c r="M389" s="1049">
        <f>IF(op!M322="","",op!M322)</f>
        <v>0</v>
      </c>
      <c r="N389" s="1051" t="str">
        <f t="shared" si="145"/>
        <v/>
      </c>
      <c r="O389" s="1051" t="str">
        <f t="shared" si="146"/>
        <v/>
      </c>
      <c r="P389" s="1125" t="str">
        <f t="shared" si="147"/>
        <v/>
      </c>
      <c r="Q389" s="472"/>
      <c r="R389" s="923" t="str">
        <f t="shared" si="162"/>
        <v/>
      </c>
      <c r="S389" s="923" t="str">
        <f t="shared" si="148"/>
        <v/>
      </c>
      <c r="T389" s="925" t="str">
        <f t="shared" si="149"/>
        <v/>
      </c>
      <c r="U389" s="545"/>
      <c r="V389" s="1103"/>
      <c r="W389" s="1103"/>
      <c r="X389" s="1060"/>
      <c r="Y389" s="1095" t="e">
        <f t="shared" si="163"/>
        <v>#VALUE!</v>
      </c>
      <c r="Z389" s="1094">
        <f>tab!$B$50</f>
        <v>0.6</v>
      </c>
      <c r="AA389" s="1126" t="e">
        <f t="shared" si="151"/>
        <v>#VALUE!</v>
      </c>
      <c r="AB389" s="1126" t="e">
        <f t="shared" si="152"/>
        <v>#VALUE!</v>
      </c>
      <c r="AC389" s="1126" t="e">
        <f t="shared" si="153"/>
        <v>#VALUE!</v>
      </c>
      <c r="AD389" s="1128" t="e">
        <f t="shared" si="154"/>
        <v>#VALUE!</v>
      </c>
      <c r="AE389" s="1128">
        <f t="shared" si="155"/>
        <v>0</v>
      </c>
      <c r="AF389" s="1096">
        <f>IF(H389&gt;8,tab!$B$51,tab!$B$54)</f>
        <v>0.5</v>
      </c>
      <c r="AG389" s="1097">
        <f t="shared" si="156"/>
        <v>0</v>
      </c>
      <c r="AH389" s="1093">
        <f t="shared" si="157"/>
        <v>0</v>
      </c>
      <c r="AI389" s="1120" t="e">
        <f>DATE(YEAR(tab!$G$3),MONTH(G389),DAY(G389))&gt;tab!$G$3</f>
        <v>#VALUE!</v>
      </c>
      <c r="AJ389" s="1097" t="e">
        <f t="shared" si="161"/>
        <v>#VALUE!</v>
      </c>
      <c r="AK389" s="1041">
        <f t="shared" si="158"/>
        <v>30</v>
      </c>
      <c r="AL389" s="1041">
        <f t="shared" si="159"/>
        <v>30</v>
      </c>
      <c r="AM389" s="1047">
        <f t="shared" si="160"/>
        <v>0</v>
      </c>
      <c r="AS389" s="727"/>
    </row>
    <row r="390" spans="3:45" ht="12.75" customHeight="1" x14ac:dyDescent="0.3">
      <c r="C390" s="122"/>
      <c r="D390" s="388" t="str">
        <f>IF(op!D323=0,"",op!D323)</f>
        <v/>
      </c>
      <c r="E390" s="388" t="str">
        <f>IF(op!E323=0,"-",op!E323)</f>
        <v/>
      </c>
      <c r="F390" s="684" t="str">
        <f>IF(op!F323="","",op!F323+1)</f>
        <v/>
      </c>
      <c r="G390" s="710" t="str">
        <f>IF(op!G323="","",op!G323)</f>
        <v/>
      </c>
      <c r="H390" s="684" t="str">
        <f>IF(op!H323=0,"",op!H323)</f>
        <v/>
      </c>
      <c r="I390" s="389" t="str">
        <f>IF(J390="","",(IF(op!I323+1&gt;LOOKUP(H390,schaal2019,regels2019),op!I323,op!I323+1)))</f>
        <v/>
      </c>
      <c r="J390" s="711" t="str">
        <f>IF(op!J323="","",op!J323)</f>
        <v/>
      </c>
      <c r="K390" s="472"/>
      <c r="L390" s="1049">
        <f>IF(op!L323="","",op!L323)</f>
        <v>0</v>
      </c>
      <c r="M390" s="1049">
        <f>IF(op!M323="","",op!M323)</f>
        <v>0</v>
      </c>
      <c r="N390" s="1051" t="str">
        <f t="shared" si="145"/>
        <v/>
      </c>
      <c r="O390" s="1051" t="str">
        <f t="shared" si="146"/>
        <v/>
      </c>
      <c r="P390" s="1125" t="str">
        <f t="shared" si="147"/>
        <v/>
      </c>
      <c r="Q390" s="472"/>
      <c r="R390" s="923" t="str">
        <f t="shared" si="162"/>
        <v/>
      </c>
      <c r="S390" s="923" t="str">
        <f t="shared" si="148"/>
        <v/>
      </c>
      <c r="T390" s="925" t="str">
        <f t="shared" si="149"/>
        <v/>
      </c>
      <c r="U390" s="545"/>
      <c r="V390" s="1103"/>
      <c r="W390" s="1103"/>
      <c r="X390" s="1060"/>
      <c r="Y390" s="1095" t="e">
        <f t="shared" si="163"/>
        <v>#VALUE!</v>
      </c>
      <c r="Z390" s="1094">
        <f>tab!$B$50</f>
        <v>0.6</v>
      </c>
      <c r="AA390" s="1126" t="e">
        <f t="shared" si="151"/>
        <v>#VALUE!</v>
      </c>
      <c r="AB390" s="1126" t="e">
        <f t="shared" si="152"/>
        <v>#VALUE!</v>
      </c>
      <c r="AC390" s="1126" t="e">
        <f t="shared" si="153"/>
        <v>#VALUE!</v>
      </c>
      <c r="AD390" s="1128" t="e">
        <f t="shared" si="154"/>
        <v>#VALUE!</v>
      </c>
      <c r="AE390" s="1128">
        <f t="shared" si="155"/>
        <v>0</v>
      </c>
      <c r="AF390" s="1096">
        <f>IF(H390&gt;8,tab!$B$51,tab!$B$54)</f>
        <v>0.5</v>
      </c>
      <c r="AG390" s="1097">
        <f t="shared" si="156"/>
        <v>0</v>
      </c>
      <c r="AH390" s="1093">
        <f t="shared" si="157"/>
        <v>0</v>
      </c>
      <c r="AI390" s="1120" t="e">
        <f>DATE(YEAR(tab!$G$3),MONTH(G390),DAY(G390))&gt;tab!$G$3</f>
        <v>#VALUE!</v>
      </c>
      <c r="AJ390" s="1097" t="e">
        <f t="shared" si="161"/>
        <v>#VALUE!</v>
      </c>
      <c r="AK390" s="1041">
        <f t="shared" si="158"/>
        <v>30</v>
      </c>
      <c r="AL390" s="1041">
        <f t="shared" si="159"/>
        <v>30</v>
      </c>
      <c r="AM390" s="1047">
        <f t="shared" si="160"/>
        <v>0</v>
      </c>
      <c r="AS390" s="727"/>
    </row>
    <row r="391" spans="3:45" ht="12.75" customHeight="1" x14ac:dyDescent="0.3">
      <c r="C391" s="122"/>
      <c r="D391" s="388" t="str">
        <f>IF(op!D324=0,"",op!D324)</f>
        <v/>
      </c>
      <c r="E391" s="388" t="str">
        <f>IF(op!E324=0,"-",op!E324)</f>
        <v/>
      </c>
      <c r="F391" s="684" t="str">
        <f>IF(op!F324="","",op!F324+1)</f>
        <v/>
      </c>
      <c r="G391" s="710" t="str">
        <f>IF(op!G324="","",op!G324)</f>
        <v/>
      </c>
      <c r="H391" s="684" t="str">
        <f>IF(op!H324=0,"",op!H324)</f>
        <v/>
      </c>
      <c r="I391" s="389" t="str">
        <f>IF(J391="","",(IF(op!I324+1&gt;LOOKUP(H391,schaal2019,regels2019),op!I324,op!I324+1)))</f>
        <v/>
      </c>
      <c r="J391" s="711" t="str">
        <f>IF(op!J324="","",op!J324)</f>
        <v/>
      </c>
      <c r="K391" s="472"/>
      <c r="L391" s="1049">
        <f>IF(op!L324="","",op!L324)</f>
        <v>0</v>
      </c>
      <c r="M391" s="1049">
        <f>IF(op!M324="","",op!M324)</f>
        <v>0</v>
      </c>
      <c r="N391" s="1051" t="str">
        <f t="shared" si="145"/>
        <v/>
      </c>
      <c r="O391" s="1051" t="str">
        <f t="shared" si="146"/>
        <v/>
      </c>
      <c r="P391" s="1125" t="str">
        <f t="shared" si="147"/>
        <v/>
      </c>
      <c r="Q391" s="472"/>
      <c r="R391" s="923" t="str">
        <f t="shared" si="162"/>
        <v/>
      </c>
      <c r="S391" s="923" t="str">
        <f t="shared" si="148"/>
        <v/>
      </c>
      <c r="T391" s="925" t="str">
        <f t="shared" si="149"/>
        <v/>
      </c>
      <c r="U391" s="545"/>
      <c r="V391" s="1103"/>
      <c r="W391" s="1103"/>
      <c r="X391" s="1060"/>
      <c r="Y391" s="1095" t="e">
        <f t="shared" si="163"/>
        <v>#VALUE!</v>
      </c>
      <c r="Z391" s="1094">
        <f>tab!$B$50</f>
        <v>0.6</v>
      </c>
      <c r="AA391" s="1126" t="e">
        <f t="shared" si="151"/>
        <v>#VALUE!</v>
      </c>
      <c r="AB391" s="1126" t="e">
        <f t="shared" si="152"/>
        <v>#VALUE!</v>
      </c>
      <c r="AC391" s="1126" t="e">
        <f t="shared" si="153"/>
        <v>#VALUE!</v>
      </c>
      <c r="AD391" s="1128" t="e">
        <f t="shared" si="154"/>
        <v>#VALUE!</v>
      </c>
      <c r="AE391" s="1128">
        <f t="shared" si="155"/>
        <v>0</v>
      </c>
      <c r="AF391" s="1096">
        <f>IF(H391&gt;8,tab!$B$51,tab!$B$54)</f>
        <v>0.5</v>
      </c>
      <c r="AG391" s="1097">
        <f t="shared" si="156"/>
        <v>0</v>
      </c>
      <c r="AH391" s="1093">
        <f t="shared" si="157"/>
        <v>0</v>
      </c>
      <c r="AI391" s="1120" t="e">
        <f>DATE(YEAR(tab!$G$3),MONTH(G391),DAY(G391))&gt;tab!$G$3</f>
        <v>#VALUE!</v>
      </c>
      <c r="AJ391" s="1097" t="e">
        <f t="shared" si="161"/>
        <v>#VALUE!</v>
      </c>
      <c r="AK391" s="1041">
        <f t="shared" si="158"/>
        <v>30</v>
      </c>
      <c r="AL391" s="1041">
        <f t="shared" si="159"/>
        <v>30</v>
      </c>
      <c r="AM391" s="1047">
        <f t="shared" si="160"/>
        <v>0</v>
      </c>
      <c r="AS391" s="727"/>
    </row>
    <row r="392" spans="3:45" ht="12.75" customHeight="1" x14ac:dyDescent="0.3">
      <c r="C392" s="122"/>
      <c r="D392" s="388" t="str">
        <f>IF(op!D325=0,"",op!D325)</f>
        <v/>
      </c>
      <c r="E392" s="388" t="str">
        <f>IF(op!E325=0,"-",op!E325)</f>
        <v/>
      </c>
      <c r="F392" s="684" t="str">
        <f>IF(op!F325="","",op!F325+1)</f>
        <v/>
      </c>
      <c r="G392" s="710" t="str">
        <f>IF(op!G325="","",op!G325)</f>
        <v/>
      </c>
      <c r="H392" s="684" t="str">
        <f>IF(op!H325=0,"",op!H325)</f>
        <v/>
      </c>
      <c r="I392" s="389" t="str">
        <f>IF(J392="","",(IF(op!I325+1&gt;LOOKUP(H392,schaal2019,regels2019),op!I325,op!I325+1)))</f>
        <v/>
      </c>
      <c r="J392" s="711" t="str">
        <f>IF(op!J325="","",op!J325)</f>
        <v/>
      </c>
      <c r="K392" s="472"/>
      <c r="L392" s="1049">
        <f>IF(op!L325="","",op!L325)</f>
        <v>0</v>
      </c>
      <c r="M392" s="1049">
        <f>IF(op!M325="","",op!M325)</f>
        <v>0</v>
      </c>
      <c r="N392" s="1051" t="str">
        <f t="shared" si="145"/>
        <v/>
      </c>
      <c r="O392" s="1051" t="str">
        <f t="shared" si="146"/>
        <v/>
      </c>
      <c r="P392" s="1125" t="str">
        <f t="shared" si="147"/>
        <v/>
      </c>
      <c r="Q392" s="472"/>
      <c r="R392" s="923" t="str">
        <f t="shared" si="162"/>
        <v/>
      </c>
      <c r="S392" s="923" t="str">
        <f t="shared" si="148"/>
        <v/>
      </c>
      <c r="T392" s="925" t="str">
        <f t="shared" si="149"/>
        <v/>
      </c>
      <c r="U392" s="545"/>
      <c r="V392" s="1103"/>
      <c r="W392" s="1103"/>
      <c r="X392" s="1060"/>
      <c r="Y392" s="1095" t="e">
        <f t="shared" si="163"/>
        <v>#VALUE!</v>
      </c>
      <c r="Z392" s="1094">
        <f>tab!$B$50</f>
        <v>0.6</v>
      </c>
      <c r="AA392" s="1126" t="e">
        <f t="shared" si="151"/>
        <v>#VALUE!</v>
      </c>
      <c r="AB392" s="1126" t="e">
        <f t="shared" si="152"/>
        <v>#VALUE!</v>
      </c>
      <c r="AC392" s="1126" t="e">
        <f t="shared" si="153"/>
        <v>#VALUE!</v>
      </c>
      <c r="AD392" s="1128" t="e">
        <f t="shared" si="154"/>
        <v>#VALUE!</v>
      </c>
      <c r="AE392" s="1128">
        <f t="shared" si="155"/>
        <v>0</v>
      </c>
      <c r="AF392" s="1096">
        <f>IF(H392&gt;8,tab!$B$51,tab!$B$54)</f>
        <v>0.5</v>
      </c>
      <c r="AG392" s="1097">
        <f t="shared" si="156"/>
        <v>0</v>
      </c>
      <c r="AH392" s="1093">
        <f t="shared" si="157"/>
        <v>0</v>
      </c>
      <c r="AI392" s="1120" t="e">
        <f>DATE(YEAR(tab!$G$3),MONTH(G392),DAY(G392))&gt;tab!$G$3</f>
        <v>#VALUE!</v>
      </c>
      <c r="AJ392" s="1097" t="e">
        <f t="shared" si="161"/>
        <v>#VALUE!</v>
      </c>
      <c r="AK392" s="1041">
        <f t="shared" si="158"/>
        <v>30</v>
      </c>
      <c r="AL392" s="1041">
        <f t="shared" si="159"/>
        <v>30</v>
      </c>
      <c r="AM392" s="1047">
        <f t="shared" si="160"/>
        <v>0</v>
      </c>
      <c r="AS392" s="727"/>
    </row>
    <row r="393" spans="3:45" ht="12.75" customHeight="1" x14ac:dyDescent="0.3">
      <c r="C393" s="122"/>
      <c r="D393" s="388" t="str">
        <f>IF(op!D326=0,"",op!D326)</f>
        <v/>
      </c>
      <c r="E393" s="388" t="str">
        <f>IF(op!E326=0,"-",op!E326)</f>
        <v/>
      </c>
      <c r="F393" s="684" t="str">
        <f>IF(op!F326="","",op!F326+1)</f>
        <v/>
      </c>
      <c r="G393" s="710" t="str">
        <f>IF(op!G326="","",op!G326)</f>
        <v/>
      </c>
      <c r="H393" s="684" t="str">
        <f>IF(op!H326=0,"",op!H326)</f>
        <v/>
      </c>
      <c r="I393" s="389" t="str">
        <f>IF(J393="","",(IF(op!I326+1&gt;LOOKUP(H393,schaal2019,regels2019),op!I326,op!I326+1)))</f>
        <v/>
      </c>
      <c r="J393" s="711" t="str">
        <f>IF(op!J326="","",op!J326)</f>
        <v/>
      </c>
      <c r="K393" s="472"/>
      <c r="L393" s="1049">
        <f>IF(op!L326="","",op!L326)</f>
        <v>0</v>
      </c>
      <c r="M393" s="1049">
        <f>IF(op!M326="","",op!M326)</f>
        <v>0</v>
      </c>
      <c r="N393" s="1051" t="str">
        <f t="shared" si="145"/>
        <v/>
      </c>
      <c r="O393" s="1051" t="str">
        <f t="shared" si="146"/>
        <v/>
      </c>
      <c r="P393" s="1125" t="str">
        <f t="shared" si="147"/>
        <v/>
      </c>
      <c r="Q393" s="472"/>
      <c r="R393" s="923" t="str">
        <f t="shared" si="162"/>
        <v/>
      </c>
      <c r="S393" s="923" t="str">
        <f t="shared" si="148"/>
        <v/>
      </c>
      <c r="T393" s="925" t="str">
        <f t="shared" si="149"/>
        <v/>
      </c>
      <c r="U393" s="545"/>
      <c r="V393" s="1103"/>
      <c r="W393" s="1103"/>
      <c r="X393" s="1060"/>
      <c r="Y393" s="1095" t="e">
        <f t="shared" si="163"/>
        <v>#VALUE!</v>
      </c>
      <c r="Z393" s="1094">
        <f>tab!$B$50</f>
        <v>0.6</v>
      </c>
      <c r="AA393" s="1126" t="e">
        <f t="shared" si="151"/>
        <v>#VALUE!</v>
      </c>
      <c r="AB393" s="1126" t="e">
        <f t="shared" si="152"/>
        <v>#VALUE!</v>
      </c>
      <c r="AC393" s="1126" t="e">
        <f t="shared" si="153"/>
        <v>#VALUE!</v>
      </c>
      <c r="AD393" s="1128" t="e">
        <f t="shared" si="154"/>
        <v>#VALUE!</v>
      </c>
      <c r="AE393" s="1128">
        <f t="shared" si="155"/>
        <v>0</v>
      </c>
      <c r="AF393" s="1096">
        <f>IF(H393&gt;8,tab!$B$51,tab!$B$54)</f>
        <v>0.5</v>
      </c>
      <c r="AG393" s="1097">
        <f t="shared" si="156"/>
        <v>0</v>
      </c>
      <c r="AH393" s="1093">
        <f t="shared" si="157"/>
        <v>0</v>
      </c>
      <c r="AI393" s="1120" t="e">
        <f>DATE(YEAR(tab!$G$3),MONTH(G393),DAY(G393))&gt;tab!$G$3</f>
        <v>#VALUE!</v>
      </c>
      <c r="AJ393" s="1097" t="e">
        <f t="shared" si="161"/>
        <v>#VALUE!</v>
      </c>
      <c r="AK393" s="1041">
        <f t="shared" si="158"/>
        <v>30</v>
      </c>
      <c r="AL393" s="1041">
        <f t="shared" si="159"/>
        <v>30</v>
      </c>
      <c r="AM393" s="1047">
        <f t="shared" si="160"/>
        <v>0</v>
      </c>
      <c r="AS393" s="727"/>
    </row>
    <row r="394" spans="3:45" ht="12.75" customHeight="1" x14ac:dyDescent="0.3">
      <c r="C394" s="122"/>
      <c r="D394" s="388" t="str">
        <f>IF(op!D327=0,"",op!D327)</f>
        <v/>
      </c>
      <c r="E394" s="388" t="str">
        <f>IF(op!E327=0,"-",op!E327)</f>
        <v/>
      </c>
      <c r="F394" s="684" t="str">
        <f>IF(op!F327="","",op!F327+1)</f>
        <v/>
      </c>
      <c r="G394" s="710" t="str">
        <f>IF(op!G327="","",op!G327)</f>
        <v/>
      </c>
      <c r="H394" s="684" t="str">
        <f>IF(op!H327=0,"",op!H327)</f>
        <v/>
      </c>
      <c r="I394" s="389" t="str">
        <f>IF(J394="","",(IF(op!I327+1&gt;LOOKUP(H394,schaal2019,regels2019),op!I327,op!I327+1)))</f>
        <v/>
      </c>
      <c r="J394" s="711" t="str">
        <f>IF(op!J327="","",op!J327)</f>
        <v/>
      </c>
      <c r="K394" s="472"/>
      <c r="L394" s="1049">
        <f>IF(op!L327="","",op!L327)</f>
        <v>0</v>
      </c>
      <c r="M394" s="1049">
        <f>IF(op!M327="","",op!M327)</f>
        <v>0</v>
      </c>
      <c r="N394" s="1051" t="str">
        <f t="shared" si="145"/>
        <v/>
      </c>
      <c r="O394" s="1051" t="str">
        <f t="shared" si="146"/>
        <v/>
      </c>
      <c r="P394" s="1125" t="str">
        <f t="shared" si="147"/>
        <v/>
      </c>
      <c r="Q394" s="472"/>
      <c r="R394" s="923" t="str">
        <f t="shared" si="162"/>
        <v/>
      </c>
      <c r="S394" s="923" t="str">
        <f t="shared" si="148"/>
        <v/>
      </c>
      <c r="T394" s="925" t="str">
        <f t="shared" si="149"/>
        <v/>
      </c>
      <c r="U394" s="545"/>
      <c r="V394" s="1103"/>
      <c r="W394" s="1103"/>
      <c r="X394" s="1060"/>
      <c r="Y394" s="1095" t="e">
        <f t="shared" si="163"/>
        <v>#VALUE!</v>
      </c>
      <c r="Z394" s="1094">
        <f>tab!$B$50</f>
        <v>0.6</v>
      </c>
      <c r="AA394" s="1126" t="e">
        <f t="shared" si="151"/>
        <v>#VALUE!</v>
      </c>
      <c r="AB394" s="1126" t="e">
        <f t="shared" si="152"/>
        <v>#VALUE!</v>
      </c>
      <c r="AC394" s="1126" t="e">
        <f t="shared" si="153"/>
        <v>#VALUE!</v>
      </c>
      <c r="AD394" s="1128" t="e">
        <f t="shared" si="154"/>
        <v>#VALUE!</v>
      </c>
      <c r="AE394" s="1128">
        <f t="shared" si="155"/>
        <v>0</v>
      </c>
      <c r="AF394" s="1096">
        <f>IF(H394&gt;8,tab!$B$51,tab!$B$54)</f>
        <v>0.5</v>
      </c>
      <c r="AG394" s="1097">
        <f t="shared" si="156"/>
        <v>0</v>
      </c>
      <c r="AH394" s="1093">
        <f t="shared" si="157"/>
        <v>0</v>
      </c>
      <c r="AI394" s="1120" t="e">
        <f>DATE(YEAR(tab!$G$3),MONTH(G394),DAY(G394))&gt;tab!$G$3</f>
        <v>#VALUE!</v>
      </c>
      <c r="AJ394" s="1097" t="e">
        <f t="shared" si="161"/>
        <v>#VALUE!</v>
      </c>
      <c r="AK394" s="1041">
        <f t="shared" si="158"/>
        <v>30</v>
      </c>
      <c r="AL394" s="1041">
        <f t="shared" si="159"/>
        <v>30</v>
      </c>
      <c r="AM394" s="1047">
        <f t="shared" si="160"/>
        <v>0</v>
      </c>
      <c r="AS394" s="727"/>
    </row>
    <row r="395" spans="3:45" ht="12.75" customHeight="1" x14ac:dyDescent="0.3">
      <c r="C395" s="122"/>
      <c r="D395" s="388" t="str">
        <f>IF(op!D328=0,"",op!D328)</f>
        <v/>
      </c>
      <c r="E395" s="388" t="str">
        <f>IF(op!E328=0,"-",op!E328)</f>
        <v/>
      </c>
      <c r="F395" s="684" t="str">
        <f>IF(op!F328="","",op!F328+1)</f>
        <v/>
      </c>
      <c r="G395" s="710" t="str">
        <f>IF(op!G328="","",op!G328)</f>
        <v/>
      </c>
      <c r="H395" s="684" t="str">
        <f>IF(op!H328=0,"",op!H328)</f>
        <v/>
      </c>
      <c r="I395" s="389" t="str">
        <f>IF(J395="","",(IF(op!I328+1&gt;LOOKUP(H395,schaal2019,regels2019),op!I328,op!I328+1)))</f>
        <v/>
      </c>
      <c r="J395" s="711" t="str">
        <f>IF(op!J328="","",op!J328)</f>
        <v/>
      </c>
      <c r="K395" s="472"/>
      <c r="L395" s="1049">
        <f>IF(op!L328="","",op!L328)</f>
        <v>0</v>
      </c>
      <c r="M395" s="1049">
        <f>IF(op!M328="","",op!M328)</f>
        <v>0</v>
      </c>
      <c r="N395" s="1051" t="str">
        <f t="shared" si="145"/>
        <v/>
      </c>
      <c r="O395" s="1051" t="str">
        <f t="shared" si="146"/>
        <v/>
      </c>
      <c r="P395" s="1125" t="str">
        <f t="shared" si="147"/>
        <v/>
      </c>
      <c r="Q395" s="472"/>
      <c r="R395" s="923" t="str">
        <f t="shared" si="162"/>
        <v/>
      </c>
      <c r="S395" s="923" t="str">
        <f t="shared" si="148"/>
        <v/>
      </c>
      <c r="T395" s="925" t="str">
        <f t="shared" si="149"/>
        <v/>
      </c>
      <c r="U395" s="545"/>
      <c r="V395" s="1103"/>
      <c r="W395" s="1103"/>
      <c r="X395" s="1060"/>
      <c r="Y395" s="1095" t="e">
        <f t="shared" si="163"/>
        <v>#VALUE!</v>
      </c>
      <c r="Z395" s="1094">
        <f>tab!$B$50</f>
        <v>0.6</v>
      </c>
      <c r="AA395" s="1126" t="e">
        <f t="shared" si="151"/>
        <v>#VALUE!</v>
      </c>
      <c r="AB395" s="1126" t="e">
        <f t="shared" si="152"/>
        <v>#VALUE!</v>
      </c>
      <c r="AC395" s="1126" t="e">
        <f t="shared" si="153"/>
        <v>#VALUE!</v>
      </c>
      <c r="AD395" s="1128" t="e">
        <f t="shared" si="154"/>
        <v>#VALUE!</v>
      </c>
      <c r="AE395" s="1128">
        <f t="shared" si="155"/>
        <v>0</v>
      </c>
      <c r="AF395" s="1096">
        <f>IF(H395&gt;8,tab!$B$51,tab!$B$54)</f>
        <v>0.5</v>
      </c>
      <c r="AG395" s="1097">
        <f t="shared" si="156"/>
        <v>0</v>
      </c>
      <c r="AH395" s="1093">
        <f t="shared" si="157"/>
        <v>0</v>
      </c>
      <c r="AI395" s="1120" t="e">
        <f>DATE(YEAR(tab!$G$3),MONTH(G395),DAY(G395))&gt;tab!$G$3</f>
        <v>#VALUE!</v>
      </c>
      <c r="AJ395" s="1097" t="e">
        <f t="shared" si="161"/>
        <v>#VALUE!</v>
      </c>
      <c r="AK395" s="1041">
        <f t="shared" si="158"/>
        <v>30</v>
      </c>
      <c r="AL395" s="1041">
        <f t="shared" si="159"/>
        <v>30</v>
      </c>
      <c r="AM395" s="1047">
        <f t="shared" si="160"/>
        <v>0</v>
      </c>
      <c r="AS395" s="727"/>
    </row>
    <row r="396" spans="3:45" ht="12.75" customHeight="1" x14ac:dyDescent="0.3">
      <c r="C396" s="122"/>
      <c r="D396" s="388" t="str">
        <f>IF(op!D329=0,"",op!D329)</f>
        <v/>
      </c>
      <c r="E396" s="388" t="str">
        <f>IF(op!E329=0,"-",op!E329)</f>
        <v/>
      </c>
      <c r="F396" s="684" t="str">
        <f>IF(op!F329="","",op!F329+1)</f>
        <v/>
      </c>
      <c r="G396" s="710" t="str">
        <f>IF(op!G329="","",op!G329)</f>
        <v/>
      </c>
      <c r="H396" s="684" t="str">
        <f>IF(op!H329=0,"",op!H329)</f>
        <v/>
      </c>
      <c r="I396" s="389" t="str">
        <f>IF(J396="","",(IF(op!I329+1&gt;LOOKUP(H396,schaal2019,regels2019),op!I329,op!I329+1)))</f>
        <v/>
      </c>
      <c r="J396" s="711" t="str">
        <f>IF(op!J329="","",op!J329)</f>
        <v/>
      </c>
      <c r="K396" s="472"/>
      <c r="L396" s="1049">
        <f>IF(op!L329="","",op!L329)</f>
        <v>0</v>
      </c>
      <c r="M396" s="1049">
        <f>IF(op!M329="","",op!M329)</f>
        <v>0</v>
      </c>
      <c r="N396" s="1051" t="str">
        <f t="shared" si="145"/>
        <v/>
      </c>
      <c r="O396" s="1051" t="str">
        <f t="shared" si="146"/>
        <v/>
      </c>
      <c r="P396" s="1125" t="str">
        <f t="shared" si="147"/>
        <v/>
      </c>
      <c r="Q396" s="472"/>
      <c r="R396" s="923" t="str">
        <f t="shared" si="162"/>
        <v/>
      </c>
      <c r="S396" s="923" t="str">
        <f t="shared" si="148"/>
        <v/>
      </c>
      <c r="T396" s="925" t="str">
        <f t="shared" si="149"/>
        <v/>
      </c>
      <c r="U396" s="545"/>
      <c r="V396" s="1103"/>
      <c r="W396" s="1103"/>
      <c r="X396" s="1060"/>
      <c r="Y396" s="1095" t="e">
        <f t="shared" si="163"/>
        <v>#VALUE!</v>
      </c>
      <c r="Z396" s="1094">
        <f>tab!$B$50</f>
        <v>0.6</v>
      </c>
      <c r="AA396" s="1126" t="e">
        <f t="shared" si="151"/>
        <v>#VALUE!</v>
      </c>
      <c r="AB396" s="1126" t="e">
        <f t="shared" si="152"/>
        <v>#VALUE!</v>
      </c>
      <c r="AC396" s="1126" t="e">
        <f t="shared" si="153"/>
        <v>#VALUE!</v>
      </c>
      <c r="AD396" s="1128" t="e">
        <f t="shared" si="154"/>
        <v>#VALUE!</v>
      </c>
      <c r="AE396" s="1128">
        <f t="shared" si="155"/>
        <v>0</v>
      </c>
      <c r="AF396" s="1096">
        <f>IF(H396&gt;8,tab!$B$51,tab!$B$54)</f>
        <v>0.5</v>
      </c>
      <c r="AG396" s="1097">
        <f t="shared" si="156"/>
        <v>0</v>
      </c>
      <c r="AH396" s="1093">
        <f t="shared" si="157"/>
        <v>0</v>
      </c>
      <c r="AI396" s="1120" t="e">
        <f>DATE(YEAR(tab!$G$3),MONTH(G396),DAY(G396))&gt;tab!$G$3</f>
        <v>#VALUE!</v>
      </c>
      <c r="AJ396" s="1097" t="e">
        <f t="shared" si="161"/>
        <v>#VALUE!</v>
      </c>
      <c r="AK396" s="1041">
        <f t="shared" si="158"/>
        <v>30</v>
      </c>
      <c r="AL396" s="1041">
        <f t="shared" si="159"/>
        <v>30</v>
      </c>
      <c r="AM396" s="1047">
        <f t="shared" si="160"/>
        <v>0</v>
      </c>
      <c r="AS396" s="727"/>
    </row>
    <row r="397" spans="3:45" ht="12.75" customHeight="1" x14ac:dyDescent="0.3">
      <c r="C397" s="122"/>
      <c r="D397" s="388" t="str">
        <f>IF(op!D330=0,"",op!D330)</f>
        <v/>
      </c>
      <c r="E397" s="388" t="str">
        <f>IF(op!E330=0,"-",op!E330)</f>
        <v/>
      </c>
      <c r="F397" s="684" t="str">
        <f>IF(op!F330="","",op!F330+1)</f>
        <v/>
      </c>
      <c r="G397" s="710" t="str">
        <f>IF(op!G330="","",op!G330)</f>
        <v/>
      </c>
      <c r="H397" s="684" t="str">
        <f>IF(op!H330=0,"",op!H330)</f>
        <v/>
      </c>
      <c r="I397" s="389" t="str">
        <f>IF(J397="","",(IF(op!I330+1&gt;LOOKUP(H397,schaal2019,regels2019),op!I330,op!I330+1)))</f>
        <v/>
      </c>
      <c r="J397" s="711" t="str">
        <f>IF(op!J330="","",op!J330)</f>
        <v/>
      </c>
      <c r="K397" s="472"/>
      <c r="L397" s="1049">
        <f>IF(op!L330="","",op!L330)</f>
        <v>0</v>
      </c>
      <c r="M397" s="1049">
        <f>IF(op!M330="","",op!M330)</f>
        <v>0</v>
      </c>
      <c r="N397" s="1051" t="str">
        <f t="shared" si="145"/>
        <v/>
      </c>
      <c r="O397" s="1051" t="str">
        <f t="shared" si="146"/>
        <v/>
      </c>
      <c r="P397" s="1125" t="str">
        <f t="shared" si="147"/>
        <v/>
      </c>
      <c r="Q397" s="472"/>
      <c r="R397" s="923" t="str">
        <f t="shared" si="162"/>
        <v/>
      </c>
      <c r="S397" s="923" t="str">
        <f t="shared" si="148"/>
        <v/>
      </c>
      <c r="T397" s="925" t="str">
        <f t="shared" si="149"/>
        <v/>
      </c>
      <c r="U397" s="545"/>
      <c r="V397" s="1103"/>
      <c r="W397" s="1103"/>
      <c r="X397" s="1060"/>
      <c r="Y397" s="1095" t="e">
        <f t="shared" si="163"/>
        <v>#VALUE!</v>
      </c>
      <c r="Z397" s="1094">
        <f>tab!$B$50</f>
        <v>0.6</v>
      </c>
      <c r="AA397" s="1126" t="e">
        <f t="shared" si="151"/>
        <v>#VALUE!</v>
      </c>
      <c r="AB397" s="1126" t="e">
        <f t="shared" si="152"/>
        <v>#VALUE!</v>
      </c>
      <c r="AC397" s="1126" t="e">
        <f t="shared" si="153"/>
        <v>#VALUE!</v>
      </c>
      <c r="AD397" s="1128" t="e">
        <f t="shared" si="154"/>
        <v>#VALUE!</v>
      </c>
      <c r="AE397" s="1128">
        <f t="shared" si="155"/>
        <v>0</v>
      </c>
      <c r="AF397" s="1096">
        <f>IF(H397&gt;8,tab!$B$51,tab!$B$54)</f>
        <v>0.5</v>
      </c>
      <c r="AG397" s="1097">
        <f t="shared" si="156"/>
        <v>0</v>
      </c>
      <c r="AH397" s="1093">
        <f t="shared" si="157"/>
        <v>0</v>
      </c>
      <c r="AI397" s="1120" t="e">
        <f>DATE(YEAR(tab!$G$3),MONTH(G397),DAY(G397))&gt;tab!$G$3</f>
        <v>#VALUE!</v>
      </c>
      <c r="AJ397" s="1097" t="e">
        <f t="shared" si="161"/>
        <v>#VALUE!</v>
      </c>
      <c r="AK397" s="1041">
        <f t="shared" si="158"/>
        <v>30</v>
      </c>
      <c r="AL397" s="1041">
        <f t="shared" si="159"/>
        <v>30</v>
      </c>
      <c r="AM397" s="1047">
        <f t="shared" si="160"/>
        <v>0</v>
      </c>
      <c r="AS397" s="727"/>
    </row>
    <row r="398" spans="3:45" ht="12.75" customHeight="1" x14ac:dyDescent="0.3">
      <c r="C398" s="122"/>
      <c r="D398" s="388" t="str">
        <f>IF(op!D331=0,"",op!D331)</f>
        <v/>
      </c>
      <c r="E398" s="388" t="str">
        <f>IF(op!E331=0,"-",op!E331)</f>
        <v/>
      </c>
      <c r="F398" s="684" t="str">
        <f>IF(op!F331="","",op!F331+1)</f>
        <v/>
      </c>
      <c r="G398" s="710" t="str">
        <f>IF(op!G331="","",op!G331)</f>
        <v/>
      </c>
      <c r="H398" s="684" t="str">
        <f>IF(op!H331=0,"",op!H331)</f>
        <v/>
      </c>
      <c r="I398" s="389" t="str">
        <f>IF(J398="","",(IF(op!I331+1&gt;LOOKUP(H398,schaal2019,regels2019),op!I331,op!I331+1)))</f>
        <v/>
      </c>
      <c r="J398" s="711" t="str">
        <f>IF(op!J331="","",op!J331)</f>
        <v/>
      </c>
      <c r="K398" s="472"/>
      <c r="L398" s="1049">
        <f>IF(op!L331="","",op!L331)</f>
        <v>0</v>
      </c>
      <c r="M398" s="1049">
        <f>IF(op!M331="","",op!M331)</f>
        <v>0</v>
      </c>
      <c r="N398" s="1051" t="str">
        <f t="shared" si="145"/>
        <v/>
      </c>
      <c r="O398" s="1051" t="str">
        <f t="shared" si="146"/>
        <v/>
      </c>
      <c r="P398" s="1125" t="str">
        <f t="shared" si="147"/>
        <v/>
      </c>
      <c r="Q398" s="472"/>
      <c r="R398" s="923" t="str">
        <f t="shared" si="162"/>
        <v/>
      </c>
      <c r="S398" s="923" t="str">
        <f t="shared" si="148"/>
        <v/>
      </c>
      <c r="T398" s="925" t="str">
        <f t="shared" si="149"/>
        <v/>
      </c>
      <c r="U398" s="545"/>
      <c r="V398" s="1103"/>
      <c r="W398" s="1103"/>
      <c r="X398" s="1060"/>
      <c r="Y398" s="1095" t="e">
        <f t="shared" si="163"/>
        <v>#VALUE!</v>
      </c>
      <c r="Z398" s="1094">
        <f>tab!$B$50</f>
        <v>0.6</v>
      </c>
      <c r="AA398" s="1126" t="e">
        <f t="shared" si="151"/>
        <v>#VALUE!</v>
      </c>
      <c r="AB398" s="1126" t="e">
        <f t="shared" si="152"/>
        <v>#VALUE!</v>
      </c>
      <c r="AC398" s="1126" t="e">
        <f t="shared" si="153"/>
        <v>#VALUE!</v>
      </c>
      <c r="AD398" s="1128" t="e">
        <f t="shared" si="154"/>
        <v>#VALUE!</v>
      </c>
      <c r="AE398" s="1128">
        <f t="shared" si="155"/>
        <v>0</v>
      </c>
      <c r="AF398" s="1096">
        <f>IF(H398&gt;8,tab!$B$51,tab!$B$54)</f>
        <v>0.5</v>
      </c>
      <c r="AG398" s="1097">
        <f t="shared" si="156"/>
        <v>0</v>
      </c>
      <c r="AH398" s="1093">
        <f t="shared" si="157"/>
        <v>0</v>
      </c>
      <c r="AI398" s="1120" t="e">
        <f>DATE(YEAR(tab!$G$3),MONTH(G398),DAY(G398))&gt;tab!$G$3</f>
        <v>#VALUE!</v>
      </c>
      <c r="AJ398" s="1097" t="e">
        <f t="shared" si="161"/>
        <v>#VALUE!</v>
      </c>
      <c r="AK398" s="1041">
        <f t="shared" si="158"/>
        <v>30</v>
      </c>
      <c r="AL398" s="1041">
        <f t="shared" si="159"/>
        <v>30</v>
      </c>
      <c r="AM398" s="1047">
        <f t="shared" si="160"/>
        <v>0</v>
      </c>
      <c r="AS398" s="727"/>
    </row>
    <row r="399" spans="3:45" ht="12.75" customHeight="1" x14ac:dyDescent="0.3">
      <c r="C399" s="122"/>
      <c r="D399" s="388" t="str">
        <f>IF(op!D332=0,"",op!D332)</f>
        <v/>
      </c>
      <c r="E399" s="388" t="str">
        <f>IF(op!E332=0,"-",op!E332)</f>
        <v/>
      </c>
      <c r="F399" s="684" t="str">
        <f>IF(op!F332="","",op!F332+1)</f>
        <v/>
      </c>
      <c r="G399" s="710" t="str">
        <f>IF(op!G332="","",op!G332)</f>
        <v/>
      </c>
      <c r="H399" s="684" t="str">
        <f>IF(op!H332=0,"",op!H332)</f>
        <v/>
      </c>
      <c r="I399" s="389" t="str">
        <f>IF(J399="","",(IF(op!I332+1&gt;LOOKUP(H399,schaal2019,regels2019),op!I332,op!I332+1)))</f>
        <v/>
      </c>
      <c r="J399" s="711" t="str">
        <f>IF(op!J332="","",op!J332)</f>
        <v/>
      </c>
      <c r="K399" s="472"/>
      <c r="L399" s="1049">
        <f>IF(op!L332="","",op!L332)</f>
        <v>0</v>
      </c>
      <c r="M399" s="1049">
        <f>IF(op!M332="","",op!M332)</f>
        <v>0</v>
      </c>
      <c r="N399" s="1051" t="str">
        <f t="shared" si="145"/>
        <v/>
      </c>
      <c r="O399" s="1051" t="str">
        <f t="shared" si="146"/>
        <v/>
      </c>
      <c r="P399" s="1125" t="str">
        <f t="shared" si="147"/>
        <v/>
      </c>
      <c r="Q399" s="472"/>
      <c r="R399" s="923" t="str">
        <f t="shared" si="162"/>
        <v/>
      </c>
      <c r="S399" s="923" t="str">
        <f t="shared" si="148"/>
        <v/>
      </c>
      <c r="T399" s="925" t="str">
        <f t="shared" si="149"/>
        <v/>
      </c>
      <c r="U399" s="545"/>
      <c r="V399" s="1103"/>
      <c r="W399" s="1103"/>
      <c r="X399" s="1060"/>
      <c r="Y399" s="1095" t="e">
        <f t="shared" si="163"/>
        <v>#VALUE!</v>
      </c>
      <c r="Z399" s="1094">
        <f>tab!$B$50</f>
        <v>0.6</v>
      </c>
      <c r="AA399" s="1126" t="e">
        <f t="shared" si="151"/>
        <v>#VALUE!</v>
      </c>
      <c r="AB399" s="1126" t="e">
        <f t="shared" si="152"/>
        <v>#VALUE!</v>
      </c>
      <c r="AC399" s="1126" t="e">
        <f t="shared" si="153"/>
        <v>#VALUE!</v>
      </c>
      <c r="AD399" s="1128" t="e">
        <f t="shared" si="154"/>
        <v>#VALUE!</v>
      </c>
      <c r="AE399" s="1128">
        <f t="shared" si="155"/>
        <v>0</v>
      </c>
      <c r="AF399" s="1096">
        <f>IF(H399&gt;8,tab!$B$51,tab!$B$54)</f>
        <v>0.5</v>
      </c>
      <c r="AG399" s="1097">
        <f t="shared" si="156"/>
        <v>0</v>
      </c>
      <c r="AH399" s="1093">
        <f t="shared" si="157"/>
        <v>0</v>
      </c>
      <c r="AI399" s="1120" t="e">
        <f>DATE(YEAR(tab!$G$3),MONTH(G399),DAY(G399))&gt;tab!$G$3</f>
        <v>#VALUE!</v>
      </c>
      <c r="AJ399" s="1097" t="e">
        <f t="shared" si="161"/>
        <v>#VALUE!</v>
      </c>
      <c r="AK399" s="1041">
        <f t="shared" si="158"/>
        <v>30</v>
      </c>
      <c r="AL399" s="1041">
        <f t="shared" si="159"/>
        <v>30</v>
      </c>
      <c r="AM399" s="1047">
        <f t="shared" si="160"/>
        <v>0</v>
      </c>
      <c r="AS399" s="727"/>
    </row>
    <row r="400" spans="3:45" ht="12.75" customHeight="1" x14ac:dyDescent="0.3">
      <c r="C400" s="122"/>
      <c r="D400" s="388" t="str">
        <f>IF(op!D333=0,"",op!D333)</f>
        <v/>
      </c>
      <c r="E400" s="388" t="str">
        <f>IF(op!E333=0,"-",op!E333)</f>
        <v/>
      </c>
      <c r="F400" s="684" t="str">
        <f>IF(op!F333="","",op!F333+1)</f>
        <v/>
      </c>
      <c r="G400" s="710" t="str">
        <f>IF(op!G333="","",op!G333)</f>
        <v/>
      </c>
      <c r="H400" s="684" t="str">
        <f>IF(op!H333=0,"",op!H333)</f>
        <v/>
      </c>
      <c r="I400" s="389" t="str">
        <f>IF(J400="","",(IF(op!I333+1&gt;LOOKUP(H400,schaal2019,regels2019),op!I333,op!I333+1)))</f>
        <v/>
      </c>
      <c r="J400" s="711" t="str">
        <f>IF(op!J333="","",op!J333)</f>
        <v/>
      </c>
      <c r="K400" s="472"/>
      <c r="L400" s="1049">
        <f>IF(op!L333="","",op!L333)</f>
        <v>0</v>
      </c>
      <c r="M400" s="1049">
        <f>IF(op!M333="","",op!M333)</f>
        <v>0</v>
      </c>
      <c r="N400" s="1051" t="str">
        <f t="shared" si="145"/>
        <v/>
      </c>
      <c r="O400" s="1051" t="str">
        <f t="shared" si="146"/>
        <v/>
      </c>
      <c r="P400" s="1125" t="str">
        <f t="shared" si="147"/>
        <v/>
      </c>
      <c r="Q400" s="472"/>
      <c r="R400" s="923" t="str">
        <f t="shared" si="162"/>
        <v/>
      </c>
      <c r="S400" s="923" t="str">
        <f t="shared" si="148"/>
        <v/>
      </c>
      <c r="T400" s="925" t="str">
        <f t="shared" si="149"/>
        <v/>
      </c>
      <c r="U400" s="545"/>
      <c r="V400" s="1103"/>
      <c r="W400" s="1103"/>
      <c r="X400" s="1060"/>
      <c r="Y400" s="1095" t="e">
        <f t="shared" si="163"/>
        <v>#VALUE!</v>
      </c>
      <c r="Z400" s="1094">
        <f>tab!$B$50</f>
        <v>0.6</v>
      </c>
      <c r="AA400" s="1126" t="e">
        <f t="shared" si="151"/>
        <v>#VALUE!</v>
      </c>
      <c r="AB400" s="1126" t="e">
        <f t="shared" si="152"/>
        <v>#VALUE!</v>
      </c>
      <c r="AC400" s="1126" t="e">
        <f t="shared" si="153"/>
        <v>#VALUE!</v>
      </c>
      <c r="AD400" s="1128" t="e">
        <f t="shared" si="154"/>
        <v>#VALUE!</v>
      </c>
      <c r="AE400" s="1128">
        <f t="shared" si="155"/>
        <v>0</v>
      </c>
      <c r="AF400" s="1096">
        <f>IF(H400&gt;8,tab!$B$51,tab!$B$54)</f>
        <v>0.5</v>
      </c>
      <c r="AG400" s="1097">
        <f t="shared" si="156"/>
        <v>0</v>
      </c>
      <c r="AH400" s="1093">
        <f t="shared" si="157"/>
        <v>0</v>
      </c>
      <c r="AI400" s="1120" t="e">
        <f>DATE(YEAR(tab!$G$3),MONTH(G400),DAY(G400))&gt;tab!$G$3</f>
        <v>#VALUE!</v>
      </c>
      <c r="AJ400" s="1097" t="e">
        <f t="shared" si="161"/>
        <v>#VALUE!</v>
      </c>
      <c r="AK400" s="1041">
        <f t="shared" si="158"/>
        <v>30</v>
      </c>
      <c r="AL400" s="1041">
        <f t="shared" si="159"/>
        <v>30</v>
      </c>
      <c r="AM400" s="1047">
        <f t="shared" si="160"/>
        <v>0</v>
      </c>
      <c r="AS400" s="727"/>
    </row>
    <row r="401" spans="2:45" ht="12.75" customHeight="1" x14ac:dyDescent="0.3">
      <c r="C401" s="122"/>
      <c r="D401" s="388" t="str">
        <f>IF(op!D334=0,"",op!D334)</f>
        <v/>
      </c>
      <c r="E401" s="388" t="str">
        <f>IF(op!E334=0,"-",op!E334)</f>
        <v/>
      </c>
      <c r="F401" s="684" t="str">
        <f>IF(op!F334="","",op!F334+1)</f>
        <v/>
      </c>
      <c r="G401" s="710" t="str">
        <f>IF(op!G334="","",op!G334)</f>
        <v/>
      </c>
      <c r="H401" s="684" t="str">
        <f>IF(op!H334=0,"",op!H334)</f>
        <v/>
      </c>
      <c r="I401" s="389" t="str">
        <f>IF(J401="","",(IF(op!I334+1&gt;LOOKUP(H401,schaal2019,regels2019),op!I334,op!I334+1)))</f>
        <v/>
      </c>
      <c r="J401" s="711" t="str">
        <f>IF(op!J334="","",op!J334)</f>
        <v/>
      </c>
      <c r="K401" s="472"/>
      <c r="L401" s="1049">
        <f>IF(op!L334="","",op!L334)</f>
        <v>0</v>
      </c>
      <c r="M401" s="1049">
        <f>IF(op!M334="","",op!M334)</f>
        <v>0</v>
      </c>
      <c r="N401" s="1051" t="str">
        <f t="shared" si="145"/>
        <v/>
      </c>
      <c r="O401" s="1051" t="str">
        <f t="shared" si="146"/>
        <v/>
      </c>
      <c r="P401" s="1125" t="str">
        <f t="shared" si="147"/>
        <v/>
      </c>
      <c r="Q401" s="472"/>
      <c r="R401" s="923" t="str">
        <f t="shared" si="162"/>
        <v/>
      </c>
      <c r="S401" s="923" t="str">
        <f t="shared" si="148"/>
        <v/>
      </c>
      <c r="T401" s="925" t="str">
        <f t="shared" si="149"/>
        <v/>
      </c>
      <c r="U401" s="545"/>
      <c r="V401" s="1103"/>
      <c r="W401" s="1103"/>
      <c r="X401" s="1060"/>
      <c r="Y401" s="1095" t="e">
        <f t="shared" si="163"/>
        <v>#VALUE!</v>
      </c>
      <c r="Z401" s="1094">
        <f>tab!$B$50</f>
        <v>0.6</v>
      </c>
      <c r="AA401" s="1126" t="e">
        <f t="shared" si="151"/>
        <v>#VALUE!</v>
      </c>
      <c r="AB401" s="1126" t="e">
        <f t="shared" si="152"/>
        <v>#VALUE!</v>
      </c>
      <c r="AC401" s="1126" t="e">
        <f t="shared" si="153"/>
        <v>#VALUE!</v>
      </c>
      <c r="AD401" s="1128" t="e">
        <f t="shared" si="154"/>
        <v>#VALUE!</v>
      </c>
      <c r="AE401" s="1128">
        <f t="shared" si="155"/>
        <v>0</v>
      </c>
      <c r="AF401" s="1096">
        <f>IF(H401&gt;8,tab!$B$51,tab!$B$54)</f>
        <v>0.5</v>
      </c>
      <c r="AG401" s="1097">
        <f t="shared" si="156"/>
        <v>0</v>
      </c>
      <c r="AH401" s="1093">
        <f t="shared" si="157"/>
        <v>0</v>
      </c>
      <c r="AI401" s="1120" t="e">
        <f>DATE(YEAR(tab!$G$3),MONTH(G401),DAY(G401))&gt;tab!$G$3</f>
        <v>#VALUE!</v>
      </c>
      <c r="AJ401" s="1097" t="e">
        <f t="shared" si="161"/>
        <v>#VALUE!</v>
      </c>
      <c r="AK401" s="1041">
        <f t="shared" si="158"/>
        <v>30</v>
      </c>
      <c r="AL401" s="1041">
        <f t="shared" si="159"/>
        <v>30</v>
      </c>
      <c r="AM401" s="1047">
        <f t="shared" si="160"/>
        <v>0</v>
      </c>
      <c r="AS401" s="727"/>
    </row>
    <row r="402" spans="2:45" ht="12.75" customHeight="1" x14ac:dyDescent="0.3">
      <c r="C402" s="122"/>
      <c r="D402" s="388" t="str">
        <f>IF(op!D335=0,"",op!D335)</f>
        <v/>
      </c>
      <c r="E402" s="388" t="str">
        <f>IF(op!E335=0,"-",op!E335)</f>
        <v/>
      </c>
      <c r="F402" s="684" t="str">
        <f>IF(op!F335="","",op!F335+1)</f>
        <v/>
      </c>
      <c r="G402" s="710" t="str">
        <f>IF(op!G335="","",op!G335)</f>
        <v/>
      </c>
      <c r="H402" s="684" t="str">
        <f>IF(op!H335=0,"",op!H335)</f>
        <v/>
      </c>
      <c r="I402" s="389" t="str">
        <f>IF(J402="","",(IF(op!I335+1&gt;LOOKUP(H402,schaal2019,regels2019),op!I335,op!I335+1)))</f>
        <v/>
      </c>
      <c r="J402" s="711" t="str">
        <f>IF(op!J335="","",op!J335)</f>
        <v/>
      </c>
      <c r="K402" s="472"/>
      <c r="L402" s="1049">
        <f>IF(op!L335="","",op!L335)</f>
        <v>0</v>
      </c>
      <c r="M402" s="1049">
        <f>IF(op!M335="","",op!M335)</f>
        <v>0</v>
      </c>
      <c r="N402" s="1051" t="str">
        <f t="shared" si="145"/>
        <v/>
      </c>
      <c r="O402" s="1051" t="str">
        <f t="shared" si="146"/>
        <v/>
      </c>
      <c r="P402" s="1125" t="str">
        <f t="shared" si="147"/>
        <v/>
      </c>
      <c r="Q402" s="472"/>
      <c r="R402" s="923" t="str">
        <f t="shared" si="162"/>
        <v/>
      </c>
      <c r="S402" s="923" t="str">
        <f t="shared" si="148"/>
        <v/>
      </c>
      <c r="T402" s="925" t="str">
        <f t="shared" si="149"/>
        <v/>
      </c>
      <c r="U402" s="545"/>
      <c r="V402" s="1103"/>
      <c r="W402" s="1103"/>
      <c r="X402" s="1060"/>
      <c r="Y402" s="1095" t="e">
        <f t="shared" si="163"/>
        <v>#VALUE!</v>
      </c>
      <c r="Z402" s="1094">
        <f>tab!$B$50</f>
        <v>0.6</v>
      </c>
      <c r="AA402" s="1126" t="e">
        <f t="shared" si="151"/>
        <v>#VALUE!</v>
      </c>
      <c r="AB402" s="1126" t="e">
        <f t="shared" si="152"/>
        <v>#VALUE!</v>
      </c>
      <c r="AC402" s="1126" t="e">
        <f t="shared" si="153"/>
        <v>#VALUE!</v>
      </c>
      <c r="AD402" s="1128" t="e">
        <f t="shared" si="154"/>
        <v>#VALUE!</v>
      </c>
      <c r="AE402" s="1128">
        <f t="shared" si="155"/>
        <v>0</v>
      </c>
      <c r="AF402" s="1096">
        <f>IF(H402&gt;8,tab!$B$51,tab!$B$54)</f>
        <v>0.5</v>
      </c>
      <c r="AG402" s="1097">
        <f t="shared" si="156"/>
        <v>0</v>
      </c>
      <c r="AH402" s="1093">
        <f t="shared" si="157"/>
        <v>0</v>
      </c>
      <c r="AI402" s="1120" t="e">
        <f>DATE(YEAR(tab!$G$3),MONTH(G402),DAY(G402))&gt;tab!$G$3</f>
        <v>#VALUE!</v>
      </c>
      <c r="AJ402" s="1097" t="e">
        <f t="shared" si="161"/>
        <v>#VALUE!</v>
      </c>
      <c r="AK402" s="1041">
        <f t="shared" si="158"/>
        <v>30</v>
      </c>
      <c r="AL402" s="1041">
        <f t="shared" si="159"/>
        <v>30</v>
      </c>
      <c r="AM402" s="1047">
        <f t="shared" si="160"/>
        <v>0</v>
      </c>
      <c r="AS402" s="727"/>
    </row>
    <row r="403" spans="2:45" ht="12.75" customHeight="1" x14ac:dyDescent="0.3">
      <c r="C403" s="122"/>
      <c r="D403" s="388" t="str">
        <f>IF(op!D336=0,"",op!D336)</f>
        <v/>
      </c>
      <c r="E403" s="388" t="str">
        <f>IF(op!E336=0,"-",op!E336)</f>
        <v/>
      </c>
      <c r="F403" s="684" t="str">
        <f>IF(op!F336="","",op!F336+1)</f>
        <v/>
      </c>
      <c r="G403" s="710" t="str">
        <f>IF(op!G336="","",op!G336)</f>
        <v/>
      </c>
      <c r="H403" s="684" t="str">
        <f>IF(op!H336=0,"",op!H336)</f>
        <v/>
      </c>
      <c r="I403" s="389" t="str">
        <f>IF(J403="","",(IF(op!I336+1&gt;LOOKUP(H403,schaal2019,regels2019),op!I336,op!I336+1)))</f>
        <v/>
      </c>
      <c r="J403" s="711" t="str">
        <f>IF(op!J336="","",op!J336)</f>
        <v/>
      </c>
      <c r="K403" s="472"/>
      <c r="L403" s="1049">
        <f>IF(op!L336="","",op!L336)</f>
        <v>0</v>
      </c>
      <c r="M403" s="1049">
        <f>IF(op!M336="","",op!M336)</f>
        <v>0</v>
      </c>
      <c r="N403" s="1051" t="str">
        <f t="shared" si="145"/>
        <v/>
      </c>
      <c r="O403" s="1051" t="str">
        <f t="shared" si="146"/>
        <v/>
      </c>
      <c r="P403" s="1125" t="str">
        <f t="shared" si="147"/>
        <v/>
      </c>
      <c r="Q403" s="472"/>
      <c r="R403" s="923" t="str">
        <f t="shared" si="162"/>
        <v/>
      </c>
      <c r="S403" s="923" t="str">
        <f t="shared" si="148"/>
        <v/>
      </c>
      <c r="T403" s="925" t="str">
        <f t="shared" si="149"/>
        <v/>
      </c>
      <c r="U403" s="545"/>
      <c r="V403" s="1103"/>
      <c r="W403" s="1103"/>
      <c r="X403" s="1060"/>
      <c r="Y403" s="1095" t="e">
        <f t="shared" si="163"/>
        <v>#VALUE!</v>
      </c>
      <c r="Z403" s="1094">
        <f>tab!$B$50</f>
        <v>0.6</v>
      </c>
      <c r="AA403" s="1126" t="e">
        <f t="shared" si="151"/>
        <v>#VALUE!</v>
      </c>
      <c r="AB403" s="1126" t="e">
        <f t="shared" si="152"/>
        <v>#VALUE!</v>
      </c>
      <c r="AC403" s="1126" t="e">
        <f t="shared" si="153"/>
        <v>#VALUE!</v>
      </c>
      <c r="AD403" s="1128" t="e">
        <f t="shared" si="154"/>
        <v>#VALUE!</v>
      </c>
      <c r="AE403" s="1128">
        <f t="shared" si="155"/>
        <v>0</v>
      </c>
      <c r="AF403" s="1096">
        <f>IF(H403&gt;8,tab!$B$51,tab!$B$54)</f>
        <v>0.5</v>
      </c>
      <c r="AG403" s="1097">
        <f t="shared" si="156"/>
        <v>0</v>
      </c>
      <c r="AH403" s="1093">
        <f t="shared" si="157"/>
        <v>0</v>
      </c>
      <c r="AI403" s="1120" t="e">
        <f>DATE(YEAR(tab!$G$3),MONTH(G403),DAY(G403))&gt;tab!$G$3</f>
        <v>#VALUE!</v>
      </c>
      <c r="AJ403" s="1097" t="e">
        <f t="shared" si="161"/>
        <v>#VALUE!</v>
      </c>
      <c r="AK403" s="1041">
        <f t="shared" si="158"/>
        <v>30</v>
      </c>
      <c r="AL403" s="1041">
        <f t="shared" si="159"/>
        <v>30</v>
      </c>
      <c r="AM403" s="1047">
        <f t="shared" si="160"/>
        <v>0</v>
      </c>
      <c r="AS403" s="727"/>
    </row>
    <row r="404" spans="2:45" ht="12.75" customHeight="1" x14ac:dyDescent="0.3">
      <c r="C404" s="122"/>
      <c r="D404" s="388" t="str">
        <f>IF(op!D337=0,"",op!D337)</f>
        <v/>
      </c>
      <c r="E404" s="388" t="str">
        <f>IF(op!E337=0,"-",op!E337)</f>
        <v/>
      </c>
      <c r="F404" s="684" t="str">
        <f>IF(op!F337="","",op!F337+1)</f>
        <v/>
      </c>
      <c r="G404" s="710" t="str">
        <f>IF(op!G337="","",op!G337)</f>
        <v/>
      </c>
      <c r="H404" s="684" t="str">
        <f>IF(op!H337=0,"",op!H337)</f>
        <v/>
      </c>
      <c r="I404" s="389" t="str">
        <f>IF(J404="","",(IF(op!I337+1&gt;LOOKUP(H404,schaal2019,regels2019),op!I337,op!I337+1)))</f>
        <v/>
      </c>
      <c r="J404" s="711" t="str">
        <f>IF(op!J337="","",op!J337)</f>
        <v/>
      </c>
      <c r="K404" s="472"/>
      <c r="L404" s="1049">
        <f>IF(op!L337="","",op!L337)</f>
        <v>0</v>
      </c>
      <c r="M404" s="1049">
        <f>IF(op!M337="","",op!M337)</f>
        <v>0</v>
      </c>
      <c r="N404" s="1051" t="str">
        <f t="shared" si="145"/>
        <v/>
      </c>
      <c r="O404" s="1051" t="str">
        <f t="shared" si="146"/>
        <v/>
      </c>
      <c r="P404" s="1125" t="str">
        <f t="shared" si="147"/>
        <v/>
      </c>
      <c r="Q404" s="472"/>
      <c r="R404" s="923" t="str">
        <f t="shared" si="162"/>
        <v/>
      </c>
      <c r="S404" s="923" t="str">
        <f t="shared" si="148"/>
        <v/>
      </c>
      <c r="T404" s="925" t="str">
        <f t="shared" si="149"/>
        <v/>
      </c>
      <c r="U404" s="545"/>
      <c r="V404" s="1103"/>
      <c r="W404" s="1103"/>
      <c r="X404" s="1060"/>
      <c r="Y404" s="1095" t="e">
        <f t="shared" si="163"/>
        <v>#VALUE!</v>
      </c>
      <c r="Z404" s="1094">
        <f>tab!$B$50</f>
        <v>0.6</v>
      </c>
      <c r="AA404" s="1126" t="e">
        <f t="shared" si="151"/>
        <v>#VALUE!</v>
      </c>
      <c r="AB404" s="1126" t="e">
        <f t="shared" si="152"/>
        <v>#VALUE!</v>
      </c>
      <c r="AC404" s="1126" t="e">
        <f t="shared" si="153"/>
        <v>#VALUE!</v>
      </c>
      <c r="AD404" s="1128" t="e">
        <f t="shared" si="154"/>
        <v>#VALUE!</v>
      </c>
      <c r="AE404" s="1128">
        <f t="shared" si="155"/>
        <v>0</v>
      </c>
      <c r="AF404" s="1096">
        <f>IF(H404&gt;8,tab!$B$51,tab!$B$54)</f>
        <v>0.5</v>
      </c>
      <c r="AG404" s="1097">
        <f t="shared" si="156"/>
        <v>0</v>
      </c>
      <c r="AH404" s="1093">
        <f t="shared" si="157"/>
        <v>0</v>
      </c>
      <c r="AI404" s="1120" t="e">
        <f>DATE(YEAR(tab!$G$3),MONTH(G404),DAY(G404))&gt;tab!$G$3</f>
        <v>#VALUE!</v>
      </c>
      <c r="AJ404" s="1097" t="e">
        <f t="shared" si="161"/>
        <v>#VALUE!</v>
      </c>
      <c r="AK404" s="1041">
        <f t="shared" si="158"/>
        <v>30</v>
      </c>
      <c r="AL404" s="1041">
        <f t="shared" si="159"/>
        <v>30</v>
      </c>
      <c r="AM404" s="1047">
        <f t="shared" si="160"/>
        <v>0</v>
      </c>
      <c r="AS404" s="727"/>
    </row>
    <row r="405" spans="2:45" ht="12.75" customHeight="1" x14ac:dyDescent="0.3">
      <c r="C405" s="122"/>
      <c r="D405" s="388" t="str">
        <f>IF(op!D338=0,"",op!D338)</f>
        <v/>
      </c>
      <c r="E405" s="388" t="str">
        <f>IF(op!E338=0,"-",op!E338)</f>
        <v/>
      </c>
      <c r="F405" s="684" t="str">
        <f>IF(op!F338="","",op!F338+1)</f>
        <v/>
      </c>
      <c r="G405" s="710" t="str">
        <f>IF(op!G338="","",op!G338)</f>
        <v/>
      </c>
      <c r="H405" s="684" t="str">
        <f>IF(op!H338=0,"",op!H338)</f>
        <v/>
      </c>
      <c r="I405" s="389" t="str">
        <f>IF(J405="","",(IF(op!I338+1&gt;LOOKUP(H405,schaal2019,regels2019),op!I338,op!I338+1)))</f>
        <v/>
      </c>
      <c r="J405" s="711" t="str">
        <f>IF(op!J338="","",op!J338)</f>
        <v/>
      </c>
      <c r="K405" s="472"/>
      <c r="L405" s="1049">
        <f>IF(op!L338="","",op!L338)</f>
        <v>0</v>
      </c>
      <c r="M405" s="1049">
        <f>IF(op!M338="","",op!M338)</f>
        <v>0</v>
      </c>
      <c r="N405" s="1051" t="str">
        <f t="shared" si="145"/>
        <v/>
      </c>
      <c r="O405" s="1051" t="str">
        <f t="shared" si="146"/>
        <v/>
      </c>
      <c r="P405" s="1125" t="str">
        <f t="shared" si="147"/>
        <v/>
      </c>
      <c r="Q405" s="472"/>
      <c r="R405" s="923" t="str">
        <f t="shared" si="162"/>
        <v/>
      </c>
      <c r="S405" s="923" t="str">
        <f t="shared" si="148"/>
        <v/>
      </c>
      <c r="T405" s="925" t="str">
        <f t="shared" si="149"/>
        <v/>
      </c>
      <c r="U405" s="545"/>
      <c r="V405" s="1103"/>
      <c r="W405" s="1103"/>
      <c r="X405" s="1060"/>
      <c r="Y405" s="1095" t="e">
        <f t="shared" si="163"/>
        <v>#VALUE!</v>
      </c>
      <c r="Z405" s="1094">
        <f>tab!$B$50</f>
        <v>0.6</v>
      </c>
      <c r="AA405" s="1126" t="e">
        <f t="shared" si="151"/>
        <v>#VALUE!</v>
      </c>
      <c r="AB405" s="1126" t="e">
        <f t="shared" si="152"/>
        <v>#VALUE!</v>
      </c>
      <c r="AC405" s="1126" t="e">
        <f t="shared" si="153"/>
        <v>#VALUE!</v>
      </c>
      <c r="AD405" s="1128" t="e">
        <f t="shared" si="154"/>
        <v>#VALUE!</v>
      </c>
      <c r="AE405" s="1128">
        <f t="shared" si="155"/>
        <v>0</v>
      </c>
      <c r="AF405" s="1096">
        <f>IF(H405&gt;8,tab!$B$51,tab!$B$54)</f>
        <v>0.5</v>
      </c>
      <c r="AG405" s="1097">
        <f t="shared" si="156"/>
        <v>0</v>
      </c>
      <c r="AH405" s="1093">
        <f t="shared" si="157"/>
        <v>0</v>
      </c>
      <c r="AI405" s="1120" t="e">
        <f>DATE(YEAR(tab!$G$3),MONTH(G405),DAY(G405))&gt;tab!$G$3</f>
        <v>#VALUE!</v>
      </c>
      <c r="AJ405" s="1097" t="e">
        <f t="shared" si="161"/>
        <v>#VALUE!</v>
      </c>
      <c r="AK405" s="1041">
        <f t="shared" si="158"/>
        <v>30</v>
      </c>
      <c r="AL405" s="1041">
        <f t="shared" si="159"/>
        <v>30</v>
      </c>
      <c r="AM405" s="1047">
        <f t="shared" si="160"/>
        <v>0</v>
      </c>
      <c r="AS405" s="727"/>
    </row>
    <row r="406" spans="2:45" ht="12.75" customHeight="1" x14ac:dyDescent="0.3">
      <c r="C406" s="122"/>
      <c r="D406" s="388" t="str">
        <f>IF(op!D339=0,"",op!D339)</f>
        <v/>
      </c>
      <c r="E406" s="388" t="str">
        <f>IF(op!E339=0,"-",op!E339)</f>
        <v/>
      </c>
      <c r="F406" s="684" t="str">
        <f>IF(op!F339="","",op!F339+1)</f>
        <v/>
      </c>
      <c r="G406" s="710" t="str">
        <f>IF(op!G339="","",op!G339)</f>
        <v/>
      </c>
      <c r="H406" s="684" t="str">
        <f>IF(op!H339=0,"",op!H339)</f>
        <v/>
      </c>
      <c r="I406" s="389" t="str">
        <f>IF(J406="","",(IF(op!I339+1&gt;LOOKUP(H406,schaal2019,regels2019),op!I339,op!I339+1)))</f>
        <v/>
      </c>
      <c r="J406" s="711" t="str">
        <f>IF(op!J339="","",op!J339)</f>
        <v/>
      </c>
      <c r="K406" s="472"/>
      <c r="L406" s="1049">
        <f>IF(op!L339="","",op!L339)</f>
        <v>0</v>
      </c>
      <c r="M406" s="1049">
        <f>IF(op!M339="","",op!M339)</f>
        <v>0</v>
      </c>
      <c r="N406" s="1051" t="str">
        <f t="shared" si="145"/>
        <v/>
      </c>
      <c r="O406" s="1051" t="str">
        <f t="shared" si="146"/>
        <v/>
      </c>
      <c r="P406" s="1125" t="str">
        <f t="shared" si="147"/>
        <v/>
      </c>
      <c r="Q406" s="472"/>
      <c r="R406" s="923" t="str">
        <f t="shared" si="162"/>
        <v/>
      </c>
      <c r="S406" s="923" t="str">
        <f t="shared" si="148"/>
        <v/>
      </c>
      <c r="T406" s="925" t="str">
        <f t="shared" si="149"/>
        <v/>
      </c>
      <c r="U406" s="545"/>
      <c r="V406" s="1103"/>
      <c r="W406" s="1103"/>
      <c r="X406" s="1060"/>
      <c r="Y406" s="1095" t="e">
        <f t="shared" si="163"/>
        <v>#VALUE!</v>
      </c>
      <c r="Z406" s="1094">
        <f>tab!$B$50</f>
        <v>0.6</v>
      </c>
      <c r="AA406" s="1126" t="e">
        <f t="shared" si="151"/>
        <v>#VALUE!</v>
      </c>
      <c r="AB406" s="1126" t="e">
        <f t="shared" si="152"/>
        <v>#VALUE!</v>
      </c>
      <c r="AC406" s="1126" t="e">
        <f t="shared" si="153"/>
        <v>#VALUE!</v>
      </c>
      <c r="AD406" s="1128" t="e">
        <f t="shared" si="154"/>
        <v>#VALUE!</v>
      </c>
      <c r="AE406" s="1128">
        <f t="shared" si="155"/>
        <v>0</v>
      </c>
      <c r="AF406" s="1096">
        <f>IF(H406&gt;8,tab!$B$51,tab!$B$54)</f>
        <v>0.5</v>
      </c>
      <c r="AG406" s="1097">
        <f t="shared" si="156"/>
        <v>0</v>
      </c>
      <c r="AH406" s="1093">
        <f t="shared" si="157"/>
        <v>0</v>
      </c>
      <c r="AI406" s="1120" t="e">
        <f>DATE(YEAR(tab!$G$3),MONTH(G406),DAY(G406))&gt;tab!$G$3</f>
        <v>#VALUE!</v>
      </c>
      <c r="AJ406" s="1097" t="e">
        <f t="shared" si="161"/>
        <v>#VALUE!</v>
      </c>
      <c r="AK406" s="1041">
        <f t="shared" si="158"/>
        <v>30</v>
      </c>
      <c r="AL406" s="1041">
        <f t="shared" si="159"/>
        <v>30</v>
      </c>
      <c r="AM406" s="1047">
        <f t="shared" si="160"/>
        <v>0</v>
      </c>
      <c r="AS406" s="727"/>
    </row>
    <row r="407" spans="2:45" ht="12.75" customHeight="1" x14ac:dyDescent="0.3">
      <c r="C407" s="122"/>
      <c r="D407" s="388" t="str">
        <f>IF(op!D340=0,"",op!D340)</f>
        <v/>
      </c>
      <c r="E407" s="388" t="str">
        <f>IF(op!E340=0,"-",op!E340)</f>
        <v/>
      </c>
      <c r="F407" s="684" t="str">
        <f>IF(op!F340="","",op!F340+1)</f>
        <v/>
      </c>
      <c r="G407" s="710" t="str">
        <f>IF(op!G340="","",op!G340)</f>
        <v/>
      </c>
      <c r="H407" s="684" t="str">
        <f>IF(op!H340=0,"",op!H340)</f>
        <v/>
      </c>
      <c r="I407" s="389" t="str">
        <f>IF(J407="","",(IF(op!I340+1&gt;LOOKUP(H407,schaal2019,regels2019),op!I340,op!I340+1)))</f>
        <v/>
      </c>
      <c r="J407" s="711" t="str">
        <f>IF(op!J340="","",op!J340)</f>
        <v/>
      </c>
      <c r="K407" s="472"/>
      <c r="L407" s="1049">
        <f>IF(op!L340="","",op!L340)</f>
        <v>0</v>
      </c>
      <c r="M407" s="1049">
        <f>IF(op!M340="","",op!M340)</f>
        <v>0</v>
      </c>
      <c r="N407" s="1051" t="str">
        <f t="shared" si="145"/>
        <v/>
      </c>
      <c r="O407" s="1051" t="str">
        <f t="shared" si="146"/>
        <v/>
      </c>
      <c r="P407" s="1125" t="str">
        <f t="shared" si="147"/>
        <v/>
      </c>
      <c r="Q407" s="472"/>
      <c r="R407" s="923" t="str">
        <f t="shared" si="162"/>
        <v/>
      </c>
      <c r="S407" s="923" t="str">
        <f t="shared" si="148"/>
        <v/>
      </c>
      <c r="T407" s="925" t="str">
        <f t="shared" si="149"/>
        <v/>
      </c>
      <c r="U407" s="545"/>
      <c r="V407" s="1103"/>
      <c r="W407" s="1103"/>
      <c r="X407" s="1060"/>
      <c r="Y407" s="1095" t="e">
        <f t="shared" si="163"/>
        <v>#VALUE!</v>
      </c>
      <c r="Z407" s="1094">
        <f>tab!$B$50</f>
        <v>0.6</v>
      </c>
      <c r="AA407" s="1126" t="e">
        <f t="shared" si="151"/>
        <v>#VALUE!</v>
      </c>
      <c r="AB407" s="1126" t="e">
        <f t="shared" si="152"/>
        <v>#VALUE!</v>
      </c>
      <c r="AC407" s="1126" t="e">
        <f t="shared" si="153"/>
        <v>#VALUE!</v>
      </c>
      <c r="AD407" s="1128" t="e">
        <f t="shared" si="154"/>
        <v>#VALUE!</v>
      </c>
      <c r="AE407" s="1128">
        <f t="shared" si="155"/>
        <v>0</v>
      </c>
      <c r="AF407" s="1096">
        <f>IF(H407&gt;8,tab!$B$51,tab!$B$54)</f>
        <v>0.5</v>
      </c>
      <c r="AG407" s="1097">
        <f t="shared" si="156"/>
        <v>0</v>
      </c>
      <c r="AH407" s="1093">
        <f t="shared" si="157"/>
        <v>0</v>
      </c>
      <c r="AI407" s="1120" t="e">
        <f>DATE(YEAR(tab!$G$3),MONTH(G407),DAY(G407))&gt;tab!$G$3</f>
        <v>#VALUE!</v>
      </c>
      <c r="AJ407" s="1097" t="e">
        <f t="shared" si="161"/>
        <v>#VALUE!</v>
      </c>
      <c r="AK407" s="1041">
        <f t="shared" si="158"/>
        <v>30</v>
      </c>
      <c r="AL407" s="1041">
        <f t="shared" si="159"/>
        <v>30</v>
      </c>
      <c r="AM407" s="1047">
        <f t="shared" si="160"/>
        <v>0</v>
      </c>
      <c r="AS407" s="727"/>
    </row>
    <row r="408" spans="2:45" x14ac:dyDescent="0.3">
      <c r="C408" s="447"/>
      <c r="D408" s="551"/>
      <c r="E408" s="713"/>
      <c r="F408" s="713"/>
      <c r="G408" s="714"/>
      <c r="H408" s="713"/>
      <c r="I408" s="715"/>
      <c r="J408" s="958">
        <f>SUM(J353:J407)</f>
        <v>1</v>
      </c>
      <c r="L408" s="1050">
        <f t="shared" ref="L408:M408" si="164">SUM(L353:L407)</f>
        <v>0</v>
      </c>
      <c r="M408" s="1050">
        <f t="shared" si="164"/>
        <v>0</v>
      </c>
      <c r="N408" s="1050">
        <f>SUM(N353:N407)</f>
        <v>40</v>
      </c>
      <c r="O408" s="1050">
        <f t="shared" ref="O408:P408" si="165">SUM(O353:O407)</f>
        <v>0</v>
      </c>
      <c r="P408" s="1050">
        <f t="shared" si="165"/>
        <v>40</v>
      </c>
      <c r="R408" s="959">
        <f t="shared" ref="R408:T408" si="166">SUM(R353:R407)</f>
        <v>84953.877757685361</v>
      </c>
      <c r="S408" s="960">
        <f t="shared" si="166"/>
        <v>2098.9222423146475</v>
      </c>
      <c r="T408" s="959">
        <f t="shared" si="166"/>
        <v>87052.800000000003</v>
      </c>
      <c r="U408" s="450"/>
      <c r="V408" s="1063"/>
      <c r="W408" s="1063"/>
      <c r="Y408" s="1098"/>
      <c r="Z408" s="1130"/>
      <c r="AA408" s="1098"/>
      <c r="AB408" s="1098"/>
      <c r="AC408" s="1098"/>
      <c r="AG408" s="1099">
        <f>SUM(AG353:AG407)</f>
        <v>0</v>
      </c>
      <c r="AH408" s="1100">
        <f>SUM(AH353:AH407)</f>
        <v>0</v>
      </c>
      <c r="AI408" s="1121"/>
      <c r="AJ408" s="1121"/>
      <c r="AS408" s="727"/>
    </row>
    <row r="409" spans="2:45" x14ac:dyDescent="0.3">
      <c r="B409" s="440"/>
      <c r="C409" s="440"/>
    </row>
    <row r="410" spans="2:45" x14ac:dyDescent="0.3">
      <c r="B410" s="440"/>
      <c r="C410" s="440"/>
    </row>
    <row r="411" spans="2:45" x14ac:dyDescent="0.3">
      <c r="B411" s="440"/>
      <c r="C411" s="440"/>
    </row>
    <row r="412" spans="2:45" x14ac:dyDescent="0.3">
      <c r="B412" s="440"/>
      <c r="C412" s="410" t="s">
        <v>180</v>
      </c>
      <c r="E412" s="729" t="str">
        <f>tab!H2</f>
        <v>2026/27</v>
      </c>
      <c r="V412" s="1063"/>
      <c r="W412" s="1063"/>
    </row>
    <row r="413" spans="2:45" x14ac:dyDescent="0.3">
      <c r="B413" s="440"/>
      <c r="C413" s="410" t="s">
        <v>193</v>
      </c>
      <c r="E413" s="729">
        <f>tab!I3</f>
        <v>46296</v>
      </c>
      <c r="V413" s="1063"/>
      <c r="W413" s="1063"/>
    </row>
    <row r="414" spans="2:45" x14ac:dyDescent="0.3">
      <c r="B414" s="440"/>
      <c r="V414" s="1063"/>
      <c r="W414" s="1063"/>
    </row>
    <row r="415" spans="2:45" x14ac:dyDescent="0.3">
      <c r="B415" s="440"/>
      <c r="C415" s="682"/>
      <c r="D415" s="937"/>
      <c r="E415" s="938"/>
      <c r="F415" s="939"/>
      <c r="G415" s="940"/>
      <c r="H415" s="941"/>
      <c r="I415" s="941"/>
      <c r="J415" s="942"/>
      <c r="K415" s="943"/>
      <c r="L415" s="941"/>
      <c r="M415" s="941"/>
      <c r="N415" s="941"/>
      <c r="O415" s="941"/>
      <c r="P415" s="941"/>
      <c r="Q415" s="943"/>
      <c r="R415" s="943"/>
      <c r="S415" s="944"/>
      <c r="T415" s="945"/>
      <c r="U415" s="438"/>
      <c r="V415" s="1063"/>
      <c r="W415" s="1063"/>
    </row>
    <row r="416" spans="2:45" x14ac:dyDescent="0.3">
      <c r="B416" s="440"/>
      <c r="C416" s="125"/>
      <c r="D416" s="1033" t="s">
        <v>284</v>
      </c>
      <c r="E416" s="883"/>
      <c r="F416" s="883"/>
      <c r="G416" s="883"/>
      <c r="H416" s="883"/>
      <c r="I416" s="883"/>
      <c r="J416" s="883"/>
      <c r="K416" s="902"/>
      <c r="L416" s="1033" t="s">
        <v>502</v>
      </c>
      <c r="M416" s="1035"/>
      <c r="N416" s="1033"/>
      <c r="O416" s="1033"/>
      <c r="P416" s="1133"/>
      <c r="Q416" s="902"/>
      <c r="R416" s="1033" t="s">
        <v>503</v>
      </c>
      <c r="S416" s="1036"/>
      <c r="T416" s="1134"/>
      <c r="U416" s="1135"/>
      <c r="V416" s="1064"/>
      <c r="W416" s="1064"/>
      <c r="X416" s="384"/>
      <c r="Y416" s="1063"/>
      <c r="Z416" s="1136"/>
      <c r="AD416" s="1137"/>
      <c r="AE416" s="1137"/>
      <c r="AF416" s="1064"/>
      <c r="AG416" s="1090"/>
      <c r="AH416" s="1091"/>
      <c r="AM416" s="1041"/>
    </row>
    <row r="417" spans="2:39" x14ac:dyDescent="0.3">
      <c r="B417" s="440"/>
      <c r="C417" s="125"/>
      <c r="D417" s="877" t="s">
        <v>494</v>
      </c>
      <c r="E417" s="877" t="s">
        <v>181</v>
      </c>
      <c r="F417" s="904" t="s">
        <v>137</v>
      </c>
      <c r="G417" s="905" t="s">
        <v>273</v>
      </c>
      <c r="H417" s="904" t="s">
        <v>206</v>
      </c>
      <c r="I417" s="904" t="s">
        <v>225</v>
      </c>
      <c r="J417" s="906" t="s">
        <v>140</v>
      </c>
      <c r="K417" s="881"/>
      <c r="L417" s="907" t="s">
        <v>479</v>
      </c>
      <c r="M417" s="907" t="s">
        <v>480</v>
      </c>
      <c r="N417" s="907" t="s">
        <v>478</v>
      </c>
      <c r="O417" s="907" t="s">
        <v>479</v>
      </c>
      <c r="P417" s="1138" t="s">
        <v>504</v>
      </c>
      <c r="Q417" s="881"/>
      <c r="R417" s="1037" t="s">
        <v>192</v>
      </c>
      <c r="S417" s="909" t="s">
        <v>505</v>
      </c>
      <c r="T417" s="910" t="s">
        <v>192</v>
      </c>
      <c r="U417" s="1139"/>
      <c r="V417" s="1101"/>
      <c r="W417" s="1101"/>
      <c r="X417" s="386"/>
      <c r="Y417" s="915" t="s">
        <v>303</v>
      </c>
      <c r="Z417" s="1127" t="s">
        <v>497</v>
      </c>
      <c r="AA417" s="1101" t="s">
        <v>498</v>
      </c>
      <c r="AB417" s="1101" t="s">
        <v>498</v>
      </c>
      <c r="AC417" s="1101" t="s">
        <v>495</v>
      </c>
      <c r="AD417" s="1048" t="s">
        <v>488</v>
      </c>
      <c r="AE417" s="1048" t="s">
        <v>489</v>
      </c>
      <c r="AF417" s="1101"/>
      <c r="AG417" s="1092" t="s">
        <v>297</v>
      </c>
      <c r="AH417" s="1091" t="s">
        <v>427</v>
      </c>
      <c r="AI417" s="916" t="s">
        <v>278</v>
      </c>
      <c r="AJ417" s="916" t="s">
        <v>279</v>
      </c>
      <c r="AK417" s="1059" t="s">
        <v>139</v>
      </c>
      <c r="AL417" s="1059" t="s">
        <v>204</v>
      </c>
      <c r="AM417" s="1058" t="s">
        <v>188</v>
      </c>
    </row>
    <row r="418" spans="2:39" x14ac:dyDescent="0.3">
      <c r="B418" s="440"/>
      <c r="C418" s="125"/>
      <c r="D418" s="883"/>
      <c r="E418" s="877"/>
      <c r="F418" s="904" t="s">
        <v>138</v>
      </c>
      <c r="G418" s="905" t="s">
        <v>274</v>
      </c>
      <c r="H418" s="904"/>
      <c r="I418" s="904"/>
      <c r="J418" s="906" t="s">
        <v>277</v>
      </c>
      <c r="K418" s="881"/>
      <c r="L418" s="907" t="s">
        <v>482</v>
      </c>
      <c r="M418" s="907" t="s">
        <v>483</v>
      </c>
      <c r="N418" s="907" t="s">
        <v>481</v>
      </c>
      <c r="O418" s="907" t="s">
        <v>493</v>
      </c>
      <c r="P418" s="1138" t="s">
        <v>269</v>
      </c>
      <c r="Q418" s="881"/>
      <c r="R418" s="908" t="s">
        <v>506</v>
      </c>
      <c r="S418" s="909" t="s">
        <v>484</v>
      </c>
      <c r="T418" s="910" t="s">
        <v>269</v>
      </c>
      <c r="U418" s="887"/>
      <c r="V418" s="1063"/>
      <c r="W418" s="1063"/>
      <c r="X418" s="129"/>
      <c r="Y418" s="915" t="s">
        <v>197</v>
      </c>
      <c r="Z418" s="918">
        <f>tab!$B$50</f>
        <v>0.6</v>
      </c>
      <c r="AA418" s="1101" t="s">
        <v>499</v>
      </c>
      <c r="AB418" s="1101" t="s">
        <v>500</v>
      </c>
      <c r="AC418" s="1101" t="s">
        <v>501</v>
      </c>
      <c r="AD418" s="1048" t="s">
        <v>491</v>
      </c>
      <c r="AE418" s="1048" t="s">
        <v>491</v>
      </c>
      <c r="AG418" s="1092"/>
      <c r="AH418" s="1093" t="s">
        <v>224</v>
      </c>
      <c r="AI418" s="1048" t="s">
        <v>275</v>
      </c>
      <c r="AJ418" s="1048" t="s">
        <v>275</v>
      </c>
      <c r="AK418" s="1059"/>
      <c r="AL418" s="1059" t="s">
        <v>188</v>
      </c>
      <c r="AM418" s="1058"/>
    </row>
    <row r="419" spans="2:39" x14ac:dyDescent="0.3">
      <c r="B419" s="440"/>
      <c r="C419" s="122"/>
      <c r="D419" s="883"/>
      <c r="E419" s="883"/>
      <c r="F419" s="946"/>
      <c r="G419" s="947"/>
      <c r="H419" s="904"/>
      <c r="I419" s="904"/>
      <c r="J419" s="906"/>
      <c r="K419" s="883"/>
      <c r="L419" s="907"/>
      <c r="M419" s="907"/>
      <c r="N419" s="907"/>
      <c r="O419" s="907"/>
      <c r="P419" s="907"/>
      <c r="Q419" s="883"/>
      <c r="R419" s="948"/>
      <c r="S419" s="909"/>
      <c r="T419" s="949"/>
      <c r="U419" s="443"/>
      <c r="V419" s="1063"/>
      <c r="W419" s="1063"/>
      <c r="Y419" s="915"/>
      <c r="Z419" s="1064"/>
      <c r="AA419" s="1064"/>
      <c r="AB419" s="1064"/>
      <c r="AC419" s="1064"/>
      <c r="AG419" s="1092"/>
      <c r="AH419" s="1093"/>
      <c r="AM419" s="1058"/>
    </row>
    <row r="420" spans="2:39" x14ac:dyDescent="0.3">
      <c r="B420" s="440"/>
      <c r="C420" s="122"/>
      <c r="D420" s="388" t="str">
        <f>IF(op!D353=0,"",op!D353)</f>
        <v/>
      </c>
      <c r="E420" s="388" t="str">
        <f>IF(op!E353=0,"-",op!E353)</f>
        <v>nn</v>
      </c>
      <c r="F420" s="684" t="str">
        <f>IF(op!F353="","",op!F353+1)</f>
        <v/>
      </c>
      <c r="G420" s="710">
        <f>IF(op!G353="","",op!G353)</f>
        <v>28491</v>
      </c>
      <c r="H420" s="684" t="str">
        <f>IF(op!H353=0,"",op!H353)</f>
        <v>L11</v>
      </c>
      <c r="I420" s="389">
        <f>IF(J420="","",(IF(op!I353+1&gt;LOOKUP(H420,schaal2019,regels2019),op!I353,op!I353+1)))</f>
        <v>15</v>
      </c>
      <c r="J420" s="711">
        <f>IF(op!J353="","",op!J353)</f>
        <v>1</v>
      </c>
      <c r="K420" s="472"/>
      <c r="L420" s="1049">
        <f>IF(op!L353="","",op!L353)</f>
        <v>0</v>
      </c>
      <c r="M420" s="1049">
        <f>IF(op!M353="","",op!M353)</f>
        <v>0</v>
      </c>
      <c r="N420" s="1051">
        <f t="shared" ref="N420:N474" si="167">IF(J420="","",IF((J420*40)&gt;40,40,((J420*40))))</f>
        <v>40</v>
      </c>
      <c r="O420" s="1051">
        <f t="shared" ref="O420:O474" si="168">IF(J420="","",IF(I420&lt;4,(40*J420),0))</f>
        <v>0</v>
      </c>
      <c r="P420" s="1125">
        <f t="shared" ref="P420:P474" si="169">IF(J420="","",(SUM(L420:O420)))</f>
        <v>40</v>
      </c>
      <c r="Q420" s="472"/>
      <c r="R420" s="923">
        <f>IF(J420="","",(((1659*J420)-P420)*AB420))</f>
        <v>84953.877757685361</v>
      </c>
      <c r="S420" s="923">
        <f t="shared" ref="S420:S474" si="170">IF(J420="","",(P420*AC420)+(AA420*AD420)+((AE420*AA420*(1-AF420))))</f>
        <v>2098.9222423146475</v>
      </c>
      <c r="T420" s="925">
        <f t="shared" ref="T420:T474" si="171">IF(J420="","",(R420+S420))</f>
        <v>87052.800000000003</v>
      </c>
      <c r="U420" s="545"/>
      <c r="V420" s="1103"/>
      <c r="W420" s="1103"/>
      <c r="X420" s="1060"/>
      <c r="Y420" s="1095">
        <f t="shared" ref="Y420:Y474" si="172">ROUND(5/12*VLOOKUP(H420,salaris2021,I420+1,FALSE)+7/12*VLOOKUP(H420,salaris2021,I420+1,FALSE),0)</f>
        <v>4534</v>
      </c>
      <c r="Z420" s="1094">
        <f>tab!$B$50</f>
        <v>0.6</v>
      </c>
      <c r="AA420" s="1126">
        <f t="shared" ref="AA420:AA474" si="173">(Y420*12/1659)</f>
        <v>32.795660036166367</v>
      </c>
      <c r="AB420" s="1126">
        <f t="shared" ref="AB420:AB474" si="174">(Y420*12*(1+Z420))/1659</f>
        <v>52.473056057866188</v>
      </c>
      <c r="AC420" s="1126">
        <f t="shared" ref="AC420:AC474" si="175">AB420-AA420</f>
        <v>19.67739602169982</v>
      </c>
      <c r="AD420" s="1128">
        <f t="shared" ref="AD420:AD474" si="176">(N420+O420)</f>
        <v>40</v>
      </c>
      <c r="AE420" s="1128">
        <f t="shared" ref="AE420:AE474" si="177">(L420+M420)</f>
        <v>0</v>
      </c>
      <c r="AF420" s="1096">
        <f>IF(H420&gt;8,tab!$B$51,tab!$B$54)</f>
        <v>0.5</v>
      </c>
      <c r="AG420" s="1097">
        <f t="shared" ref="AG420:AG474" si="178">IF(F420&lt;25,0,IF(F420=25,25,IF(F420&lt;40,0,IF(F420=40,40,IF(F420&gt;=40,0)))))</f>
        <v>0</v>
      </c>
      <c r="AH420" s="1093">
        <f t="shared" ref="AH420:AH474" si="179">IF(AG420=25,(Y420*1.08*(J420)/2),IF(AG420=40,(Y420*1.08*(J420)),IF(AG420=0,0)))</f>
        <v>0</v>
      </c>
      <c r="AI420" s="1120" t="b">
        <f>DATE(YEAR(tab!$G$3),MONTH(G420),DAY(G420))&gt;tab!$G$3</f>
        <v>0</v>
      </c>
      <c r="AJ420" s="1097">
        <f>YEAR($E$346)-YEAR(G420)-AI420</f>
        <v>47</v>
      </c>
      <c r="AK420" s="1041">
        <f t="shared" ref="AK420:AK474" si="180">IF((G420=""),30,AJ420)</f>
        <v>47</v>
      </c>
      <c r="AL420" s="1041">
        <f t="shared" ref="AL420:AL474" si="181">IF((AK420)&gt;50,50,(AK420))</f>
        <v>47</v>
      </c>
      <c r="AM420" s="1047">
        <f t="shared" ref="AM420:AM474" si="182">(AL420*(SUM(J420:J420)))</f>
        <v>47</v>
      </c>
    </row>
    <row r="421" spans="2:39" x14ac:dyDescent="0.3">
      <c r="B421" s="440"/>
      <c r="C421" s="122"/>
      <c r="D421" s="388" t="str">
        <f>IF(op!D354=0,"",op!D354)</f>
        <v/>
      </c>
      <c r="E421" s="388" t="str">
        <f>IF(op!E354=0,"-",op!E354)</f>
        <v/>
      </c>
      <c r="F421" s="684" t="str">
        <f>IF(op!F354="","",op!F354+1)</f>
        <v/>
      </c>
      <c r="G421" s="710" t="str">
        <f>IF(op!G354="","",op!G354)</f>
        <v/>
      </c>
      <c r="H421" s="684" t="str">
        <f>IF(op!H354=0,"",op!H354)</f>
        <v/>
      </c>
      <c r="I421" s="389" t="str">
        <f>IF(J421="","",(IF(op!I354+1&gt;LOOKUP(H421,schaal2019,regels2019),op!I354,op!I354+1)))</f>
        <v/>
      </c>
      <c r="J421" s="711" t="str">
        <f>IF(op!J354="","",op!J354)</f>
        <v/>
      </c>
      <c r="K421" s="472"/>
      <c r="L421" s="1049">
        <f>IF(op!L354="","",op!L354)</f>
        <v>0</v>
      </c>
      <c r="M421" s="1049">
        <f>IF(op!M354="","",op!M354)</f>
        <v>0</v>
      </c>
      <c r="N421" s="1051" t="str">
        <f t="shared" si="167"/>
        <v/>
      </c>
      <c r="O421" s="1051" t="str">
        <f t="shared" si="168"/>
        <v/>
      </c>
      <c r="P421" s="1125" t="str">
        <f t="shared" si="169"/>
        <v/>
      </c>
      <c r="Q421" s="472"/>
      <c r="R421" s="923" t="str">
        <f>IF(J421="","",(((1659*J421)-P421)*AB421))</f>
        <v/>
      </c>
      <c r="S421" s="923" t="str">
        <f t="shared" si="170"/>
        <v/>
      </c>
      <c r="T421" s="925" t="str">
        <f t="shared" si="171"/>
        <v/>
      </c>
      <c r="U421" s="545"/>
      <c r="V421" s="1103"/>
      <c r="W421" s="1103"/>
      <c r="X421" s="1060"/>
      <c r="Y421" s="1095" t="e">
        <f t="shared" si="172"/>
        <v>#VALUE!</v>
      </c>
      <c r="Z421" s="1094">
        <f>tab!$B$50</f>
        <v>0.6</v>
      </c>
      <c r="AA421" s="1126" t="e">
        <f t="shared" si="173"/>
        <v>#VALUE!</v>
      </c>
      <c r="AB421" s="1126" t="e">
        <f t="shared" si="174"/>
        <v>#VALUE!</v>
      </c>
      <c r="AC421" s="1126" t="e">
        <f t="shared" si="175"/>
        <v>#VALUE!</v>
      </c>
      <c r="AD421" s="1128" t="e">
        <f t="shared" si="176"/>
        <v>#VALUE!</v>
      </c>
      <c r="AE421" s="1128">
        <f t="shared" si="177"/>
        <v>0</v>
      </c>
      <c r="AF421" s="1096">
        <f>IF(H421&gt;8,tab!$B$51,tab!$B$54)</f>
        <v>0.5</v>
      </c>
      <c r="AG421" s="1097">
        <f t="shared" si="178"/>
        <v>0</v>
      </c>
      <c r="AH421" s="1093">
        <f t="shared" si="179"/>
        <v>0</v>
      </c>
      <c r="AI421" s="1120" t="e">
        <f>DATE(YEAR(tab!$G$3),MONTH(G421),DAY(G421))&gt;tab!$G$3</f>
        <v>#VALUE!</v>
      </c>
      <c r="AJ421" s="1097" t="e">
        <f t="shared" ref="AJ421:AJ474" si="183">YEAR($E$346)-YEAR(G421)-AI421</f>
        <v>#VALUE!</v>
      </c>
      <c r="AK421" s="1041">
        <f t="shared" si="180"/>
        <v>30</v>
      </c>
      <c r="AL421" s="1041">
        <f t="shared" si="181"/>
        <v>30</v>
      </c>
      <c r="AM421" s="1047">
        <f t="shared" si="182"/>
        <v>0</v>
      </c>
    </row>
    <row r="422" spans="2:39" x14ac:dyDescent="0.3">
      <c r="B422" s="440"/>
      <c r="C422" s="122"/>
      <c r="D422" s="388" t="str">
        <f>IF(op!D355=0,"",op!D355)</f>
        <v/>
      </c>
      <c r="E422" s="388" t="str">
        <f>IF(op!E355=0,"-",op!E355)</f>
        <v/>
      </c>
      <c r="F422" s="684" t="str">
        <f>IF(op!F355="","",op!F355+1)</f>
        <v/>
      </c>
      <c r="G422" s="710" t="str">
        <f>IF(op!G355="","",op!G355)</f>
        <v/>
      </c>
      <c r="H422" s="684" t="str">
        <f>IF(op!H355=0,"",op!H355)</f>
        <v/>
      </c>
      <c r="I422" s="389" t="str">
        <f>IF(J422="","",(IF(op!I355+1&gt;LOOKUP(H422,schaal2019,regels2019),op!I355,op!I355+1)))</f>
        <v/>
      </c>
      <c r="J422" s="711" t="str">
        <f>IF(op!J355="","",op!J355)</f>
        <v/>
      </c>
      <c r="K422" s="472"/>
      <c r="L422" s="1049">
        <f>IF(op!L355="","",op!L355)</f>
        <v>0</v>
      </c>
      <c r="M422" s="1049">
        <f>IF(op!M355="","",op!M355)</f>
        <v>0</v>
      </c>
      <c r="N422" s="1051" t="str">
        <f t="shared" si="167"/>
        <v/>
      </c>
      <c r="O422" s="1051" t="str">
        <f t="shared" si="168"/>
        <v/>
      </c>
      <c r="P422" s="1125" t="str">
        <f t="shared" si="169"/>
        <v/>
      </c>
      <c r="Q422" s="472"/>
      <c r="R422" s="923" t="str">
        <f t="shared" ref="R422:R474" si="184">IF(J422="","",(((1659*J422)-P422)*AB422))</f>
        <v/>
      </c>
      <c r="S422" s="923" t="str">
        <f t="shared" si="170"/>
        <v/>
      </c>
      <c r="T422" s="925" t="str">
        <f t="shared" si="171"/>
        <v/>
      </c>
      <c r="U422" s="545"/>
      <c r="V422" s="1103"/>
      <c r="W422" s="1103"/>
      <c r="X422" s="1060"/>
      <c r="Y422" s="1095" t="e">
        <f t="shared" si="172"/>
        <v>#VALUE!</v>
      </c>
      <c r="Z422" s="1094">
        <f>tab!$B$50</f>
        <v>0.6</v>
      </c>
      <c r="AA422" s="1126" t="e">
        <f t="shared" si="173"/>
        <v>#VALUE!</v>
      </c>
      <c r="AB422" s="1126" t="e">
        <f t="shared" si="174"/>
        <v>#VALUE!</v>
      </c>
      <c r="AC422" s="1126" t="e">
        <f t="shared" si="175"/>
        <v>#VALUE!</v>
      </c>
      <c r="AD422" s="1128" t="e">
        <f t="shared" si="176"/>
        <v>#VALUE!</v>
      </c>
      <c r="AE422" s="1128">
        <f t="shared" si="177"/>
        <v>0</v>
      </c>
      <c r="AF422" s="1096">
        <f>IF(H422&gt;8,tab!$B$51,tab!$B$54)</f>
        <v>0.5</v>
      </c>
      <c r="AG422" s="1097">
        <f t="shared" si="178"/>
        <v>0</v>
      </c>
      <c r="AH422" s="1093">
        <f t="shared" si="179"/>
        <v>0</v>
      </c>
      <c r="AI422" s="1120" t="e">
        <f>DATE(YEAR(tab!$G$3),MONTH(G422),DAY(G422))&gt;tab!$G$3</f>
        <v>#VALUE!</v>
      </c>
      <c r="AJ422" s="1097" t="e">
        <f t="shared" si="183"/>
        <v>#VALUE!</v>
      </c>
      <c r="AK422" s="1041">
        <f t="shared" si="180"/>
        <v>30</v>
      </c>
      <c r="AL422" s="1041">
        <f t="shared" si="181"/>
        <v>30</v>
      </c>
      <c r="AM422" s="1047">
        <f t="shared" si="182"/>
        <v>0</v>
      </c>
    </row>
    <row r="423" spans="2:39" x14ac:dyDescent="0.3">
      <c r="B423" s="440"/>
      <c r="C423" s="122"/>
      <c r="D423" s="388" t="str">
        <f>IF(op!D356=0,"",op!D356)</f>
        <v/>
      </c>
      <c r="E423" s="388" t="str">
        <f>IF(op!E356=0,"-",op!E356)</f>
        <v/>
      </c>
      <c r="F423" s="684" t="str">
        <f>IF(op!F356="","",op!F356+1)</f>
        <v/>
      </c>
      <c r="G423" s="710" t="str">
        <f>IF(op!G356="","",op!G356)</f>
        <v/>
      </c>
      <c r="H423" s="684" t="str">
        <f>IF(op!H356=0,"",op!H356)</f>
        <v/>
      </c>
      <c r="I423" s="389" t="str">
        <f>IF(J423="","",(IF(op!I356+1&gt;LOOKUP(H423,schaal2019,regels2019),op!I356,op!I356+1)))</f>
        <v/>
      </c>
      <c r="J423" s="711" t="str">
        <f>IF(op!J356="","",op!J356)</f>
        <v/>
      </c>
      <c r="K423" s="472"/>
      <c r="L423" s="1049">
        <f>IF(op!L356="","",op!L356)</f>
        <v>0</v>
      </c>
      <c r="M423" s="1049">
        <f>IF(op!M356="","",op!M356)</f>
        <v>0</v>
      </c>
      <c r="N423" s="1051" t="str">
        <f t="shared" si="167"/>
        <v/>
      </c>
      <c r="O423" s="1051" t="str">
        <f t="shared" si="168"/>
        <v/>
      </c>
      <c r="P423" s="1125" t="str">
        <f t="shared" si="169"/>
        <v/>
      </c>
      <c r="Q423" s="472"/>
      <c r="R423" s="923" t="str">
        <f t="shared" si="184"/>
        <v/>
      </c>
      <c r="S423" s="923" t="str">
        <f t="shared" si="170"/>
        <v/>
      </c>
      <c r="T423" s="925" t="str">
        <f t="shared" si="171"/>
        <v/>
      </c>
      <c r="U423" s="545"/>
      <c r="V423" s="1103"/>
      <c r="W423" s="1103"/>
      <c r="X423" s="1060"/>
      <c r="Y423" s="1095" t="e">
        <f t="shared" si="172"/>
        <v>#VALUE!</v>
      </c>
      <c r="Z423" s="1094">
        <f>tab!$B$50</f>
        <v>0.6</v>
      </c>
      <c r="AA423" s="1126" t="e">
        <f t="shared" si="173"/>
        <v>#VALUE!</v>
      </c>
      <c r="AB423" s="1126" t="e">
        <f t="shared" si="174"/>
        <v>#VALUE!</v>
      </c>
      <c r="AC423" s="1126" t="e">
        <f t="shared" si="175"/>
        <v>#VALUE!</v>
      </c>
      <c r="AD423" s="1128" t="e">
        <f t="shared" si="176"/>
        <v>#VALUE!</v>
      </c>
      <c r="AE423" s="1128">
        <f t="shared" si="177"/>
        <v>0</v>
      </c>
      <c r="AF423" s="1096">
        <f>IF(H423&gt;8,tab!$B$51,tab!$B$54)</f>
        <v>0.5</v>
      </c>
      <c r="AG423" s="1097">
        <f t="shared" si="178"/>
        <v>0</v>
      </c>
      <c r="AH423" s="1093">
        <f t="shared" si="179"/>
        <v>0</v>
      </c>
      <c r="AI423" s="1120" t="e">
        <f>DATE(YEAR(tab!$G$3),MONTH(G423),DAY(G423))&gt;tab!$G$3</f>
        <v>#VALUE!</v>
      </c>
      <c r="AJ423" s="1097" t="e">
        <f t="shared" si="183"/>
        <v>#VALUE!</v>
      </c>
      <c r="AK423" s="1041">
        <f t="shared" si="180"/>
        <v>30</v>
      </c>
      <c r="AL423" s="1041">
        <f t="shared" si="181"/>
        <v>30</v>
      </c>
      <c r="AM423" s="1047">
        <f t="shared" si="182"/>
        <v>0</v>
      </c>
    </row>
    <row r="424" spans="2:39" x14ac:dyDescent="0.3">
      <c r="B424" s="440"/>
      <c r="C424" s="122"/>
      <c r="D424" s="388" t="str">
        <f>IF(op!D357=0,"",op!D357)</f>
        <v/>
      </c>
      <c r="E424" s="388" t="str">
        <f>IF(op!E357=0,"-",op!E357)</f>
        <v/>
      </c>
      <c r="F424" s="684" t="str">
        <f>IF(op!F357="","",op!F357+1)</f>
        <v/>
      </c>
      <c r="G424" s="710" t="str">
        <f>IF(op!G357="","",op!G357)</f>
        <v/>
      </c>
      <c r="H424" s="684" t="str">
        <f>IF(op!H357=0,"",op!H357)</f>
        <v/>
      </c>
      <c r="I424" s="389" t="str">
        <f>IF(J424="","",(IF(op!I357+1&gt;LOOKUP(H424,schaal2019,regels2019),op!I357,op!I357+1)))</f>
        <v/>
      </c>
      <c r="J424" s="711" t="str">
        <f>IF(op!J357="","",op!J357)</f>
        <v/>
      </c>
      <c r="K424" s="472"/>
      <c r="L424" s="1049">
        <f>IF(op!L357="","",op!L357)</f>
        <v>0</v>
      </c>
      <c r="M424" s="1049">
        <f>IF(op!M357="","",op!M357)</f>
        <v>0</v>
      </c>
      <c r="N424" s="1051" t="str">
        <f t="shared" si="167"/>
        <v/>
      </c>
      <c r="O424" s="1051" t="str">
        <f t="shared" si="168"/>
        <v/>
      </c>
      <c r="P424" s="1125" t="str">
        <f t="shared" si="169"/>
        <v/>
      </c>
      <c r="Q424" s="472"/>
      <c r="R424" s="923" t="str">
        <f t="shared" si="184"/>
        <v/>
      </c>
      <c r="S424" s="923" t="str">
        <f t="shared" si="170"/>
        <v/>
      </c>
      <c r="T424" s="925" t="str">
        <f t="shared" si="171"/>
        <v/>
      </c>
      <c r="U424" s="545"/>
      <c r="V424" s="1103"/>
      <c r="W424" s="1103"/>
      <c r="X424" s="1060"/>
      <c r="Y424" s="1095" t="e">
        <f t="shared" si="172"/>
        <v>#VALUE!</v>
      </c>
      <c r="Z424" s="1094">
        <f>tab!$B$50</f>
        <v>0.6</v>
      </c>
      <c r="AA424" s="1126" t="e">
        <f t="shared" si="173"/>
        <v>#VALUE!</v>
      </c>
      <c r="AB424" s="1126" t="e">
        <f t="shared" si="174"/>
        <v>#VALUE!</v>
      </c>
      <c r="AC424" s="1126" t="e">
        <f t="shared" si="175"/>
        <v>#VALUE!</v>
      </c>
      <c r="AD424" s="1128" t="e">
        <f t="shared" si="176"/>
        <v>#VALUE!</v>
      </c>
      <c r="AE424" s="1128">
        <f t="shared" si="177"/>
        <v>0</v>
      </c>
      <c r="AF424" s="1096">
        <f>IF(H424&gt;8,tab!$B$51,tab!$B$54)</f>
        <v>0.5</v>
      </c>
      <c r="AG424" s="1097">
        <f t="shared" si="178"/>
        <v>0</v>
      </c>
      <c r="AH424" s="1093">
        <f t="shared" si="179"/>
        <v>0</v>
      </c>
      <c r="AI424" s="1120" t="e">
        <f>DATE(YEAR(tab!$G$3),MONTH(G424),DAY(G424))&gt;tab!$G$3</f>
        <v>#VALUE!</v>
      </c>
      <c r="AJ424" s="1097" t="e">
        <f t="shared" si="183"/>
        <v>#VALUE!</v>
      </c>
      <c r="AK424" s="1041">
        <f t="shared" si="180"/>
        <v>30</v>
      </c>
      <c r="AL424" s="1041">
        <f t="shared" si="181"/>
        <v>30</v>
      </c>
      <c r="AM424" s="1047">
        <f t="shared" si="182"/>
        <v>0</v>
      </c>
    </row>
    <row r="425" spans="2:39" x14ac:dyDescent="0.3">
      <c r="B425" s="440"/>
      <c r="C425" s="122"/>
      <c r="D425" s="388" t="str">
        <f>IF(op!D358=0,"",op!D358)</f>
        <v/>
      </c>
      <c r="E425" s="388" t="str">
        <f>IF(op!E358=0,"-",op!E358)</f>
        <v/>
      </c>
      <c r="F425" s="684" t="str">
        <f>IF(op!F358="","",op!F358+1)</f>
        <v/>
      </c>
      <c r="G425" s="710" t="str">
        <f>IF(op!G358="","",op!G358)</f>
        <v/>
      </c>
      <c r="H425" s="684" t="str">
        <f>IF(op!H358=0,"",op!H358)</f>
        <v/>
      </c>
      <c r="I425" s="389" t="str">
        <f>IF(J425="","",(IF(op!I358+1&gt;LOOKUP(H425,schaal2019,regels2019),op!I358,op!I358+1)))</f>
        <v/>
      </c>
      <c r="J425" s="711" t="str">
        <f>IF(op!J358="","",op!J358)</f>
        <v/>
      </c>
      <c r="K425" s="472"/>
      <c r="L425" s="1049">
        <f>IF(op!L358="","",op!L358)</f>
        <v>0</v>
      </c>
      <c r="M425" s="1049">
        <f>IF(op!M358="","",op!M358)</f>
        <v>0</v>
      </c>
      <c r="N425" s="1051" t="str">
        <f t="shared" si="167"/>
        <v/>
      </c>
      <c r="O425" s="1051" t="str">
        <f t="shared" si="168"/>
        <v/>
      </c>
      <c r="P425" s="1125" t="str">
        <f t="shared" si="169"/>
        <v/>
      </c>
      <c r="Q425" s="472"/>
      <c r="R425" s="923" t="str">
        <f t="shared" si="184"/>
        <v/>
      </c>
      <c r="S425" s="923" t="str">
        <f t="shared" si="170"/>
        <v/>
      </c>
      <c r="T425" s="925" t="str">
        <f t="shared" si="171"/>
        <v/>
      </c>
      <c r="U425" s="545"/>
      <c r="V425" s="1103"/>
      <c r="W425" s="1103"/>
      <c r="X425" s="1060"/>
      <c r="Y425" s="1095" t="e">
        <f t="shared" si="172"/>
        <v>#VALUE!</v>
      </c>
      <c r="Z425" s="1094">
        <f>tab!$B$50</f>
        <v>0.6</v>
      </c>
      <c r="AA425" s="1126" t="e">
        <f t="shared" si="173"/>
        <v>#VALUE!</v>
      </c>
      <c r="AB425" s="1126" t="e">
        <f t="shared" si="174"/>
        <v>#VALUE!</v>
      </c>
      <c r="AC425" s="1126" t="e">
        <f t="shared" si="175"/>
        <v>#VALUE!</v>
      </c>
      <c r="AD425" s="1128" t="e">
        <f t="shared" si="176"/>
        <v>#VALUE!</v>
      </c>
      <c r="AE425" s="1128">
        <f t="shared" si="177"/>
        <v>0</v>
      </c>
      <c r="AF425" s="1096">
        <f>IF(H425&gt;8,tab!$B$51,tab!$B$54)</f>
        <v>0.5</v>
      </c>
      <c r="AG425" s="1097">
        <f t="shared" si="178"/>
        <v>0</v>
      </c>
      <c r="AH425" s="1093">
        <f t="shared" si="179"/>
        <v>0</v>
      </c>
      <c r="AI425" s="1120" t="e">
        <f>DATE(YEAR(tab!$G$3),MONTH(G425),DAY(G425))&gt;tab!$G$3</f>
        <v>#VALUE!</v>
      </c>
      <c r="AJ425" s="1097" t="e">
        <f t="shared" si="183"/>
        <v>#VALUE!</v>
      </c>
      <c r="AK425" s="1041">
        <f t="shared" si="180"/>
        <v>30</v>
      </c>
      <c r="AL425" s="1041">
        <f t="shared" si="181"/>
        <v>30</v>
      </c>
      <c r="AM425" s="1047">
        <f t="shared" si="182"/>
        <v>0</v>
      </c>
    </row>
    <row r="426" spans="2:39" x14ac:dyDescent="0.3">
      <c r="B426" s="440"/>
      <c r="C426" s="122"/>
      <c r="D426" s="388" t="str">
        <f>IF(op!D359=0,"",op!D359)</f>
        <v/>
      </c>
      <c r="E426" s="388" t="str">
        <f>IF(op!E359=0,"-",op!E359)</f>
        <v/>
      </c>
      <c r="F426" s="684" t="str">
        <f>IF(op!F359="","",op!F359+1)</f>
        <v/>
      </c>
      <c r="G426" s="710" t="str">
        <f>IF(op!G359="","",op!G359)</f>
        <v/>
      </c>
      <c r="H426" s="684" t="str">
        <f>IF(op!H359=0,"",op!H359)</f>
        <v/>
      </c>
      <c r="I426" s="389" t="str">
        <f>IF(J426="","",(IF(op!I359+1&gt;LOOKUP(H426,schaal2019,regels2019),op!I359,op!I359+1)))</f>
        <v/>
      </c>
      <c r="J426" s="711" t="str">
        <f>IF(op!J359="","",op!J359)</f>
        <v/>
      </c>
      <c r="K426" s="472"/>
      <c r="L426" s="1049">
        <f>IF(op!L359="","",op!L359)</f>
        <v>0</v>
      </c>
      <c r="M426" s="1049">
        <f>IF(op!M359="","",op!M359)</f>
        <v>0</v>
      </c>
      <c r="N426" s="1051" t="str">
        <f t="shared" si="167"/>
        <v/>
      </c>
      <c r="O426" s="1051" t="str">
        <f t="shared" si="168"/>
        <v/>
      </c>
      <c r="P426" s="1125" t="str">
        <f t="shared" si="169"/>
        <v/>
      </c>
      <c r="Q426" s="472"/>
      <c r="R426" s="923" t="str">
        <f t="shared" si="184"/>
        <v/>
      </c>
      <c r="S426" s="923" t="str">
        <f t="shared" si="170"/>
        <v/>
      </c>
      <c r="T426" s="925" t="str">
        <f t="shared" si="171"/>
        <v/>
      </c>
      <c r="U426" s="545"/>
      <c r="V426" s="1103"/>
      <c r="W426" s="1103"/>
      <c r="X426" s="1060"/>
      <c r="Y426" s="1095" t="e">
        <f t="shared" si="172"/>
        <v>#VALUE!</v>
      </c>
      <c r="Z426" s="1094">
        <f>tab!$B$50</f>
        <v>0.6</v>
      </c>
      <c r="AA426" s="1126" t="e">
        <f t="shared" si="173"/>
        <v>#VALUE!</v>
      </c>
      <c r="AB426" s="1126" t="e">
        <f t="shared" si="174"/>
        <v>#VALUE!</v>
      </c>
      <c r="AC426" s="1126" t="e">
        <f t="shared" si="175"/>
        <v>#VALUE!</v>
      </c>
      <c r="AD426" s="1128" t="e">
        <f t="shared" si="176"/>
        <v>#VALUE!</v>
      </c>
      <c r="AE426" s="1128">
        <f t="shared" si="177"/>
        <v>0</v>
      </c>
      <c r="AF426" s="1096">
        <f>IF(H426&gt;8,tab!$B$51,tab!$B$54)</f>
        <v>0.5</v>
      </c>
      <c r="AG426" s="1097">
        <f t="shared" si="178"/>
        <v>0</v>
      </c>
      <c r="AH426" s="1093">
        <f t="shared" si="179"/>
        <v>0</v>
      </c>
      <c r="AI426" s="1120" t="e">
        <f>DATE(YEAR(tab!$G$3),MONTH(G426),DAY(G426))&gt;tab!$G$3</f>
        <v>#VALUE!</v>
      </c>
      <c r="AJ426" s="1097" t="e">
        <f t="shared" si="183"/>
        <v>#VALUE!</v>
      </c>
      <c r="AK426" s="1041">
        <f t="shared" si="180"/>
        <v>30</v>
      </c>
      <c r="AL426" s="1041">
        <f t="shared" si="181"/>
        <v>30</v>
      </c>
      <c r="AM426" s="1047">
        <f t="shared" si="182"/>
        <v>0</v>
      </c>
    </row>
    <row r="427" spans="2:39" x14ac:dyDescent="0.3">
      <c r="B427" s="440"/>
      <c r="C427" s="122"/>
      <c r="D427" s="388" t="str">
        <f>IF(op!D360=0,"",op!D360)</f>
        <v/>
      </c>
      <c r="E427" s="388" t="str">
        <f>IF(op!E360=0,"-",op!E360)</f>
        <v/>
      </c>
      <c r="F427" s="684" t="str">
        <f>IF(op!F360="","",op!F360+1)</f>
        <v/>
      </c>
      <c r="G427" s="710" t="str">
        <f>IF(op!G360="","",op!G360)</f>
        <v/>
      </c>
      <c r="H427" s="684" t="str">
        <f>IF(op!H360=0,"",op!H360)</f>
        <v/>
      </c>
      <c r="I427" s="389" t="str">
        <f>IF(J427="","",(IF(op!I360+1&gt;LOOKUP(H427,schaal2019,regels2019),op!I360,op!I360+1)))</f>
        <v/>
      </c>
      <c r="J427" s="711" t="str">
        <f>IF(op!J360="","",op!J360)</f>
        <v/>
      </c>
      <c r="K427" s="472"/>
      <c r="L427" s="1049">
        <f>IF(op!L360="","",op!L360)</f>
        <v>0</v>
      </c>
      <c r="M427" s="1049">
        <f>IF(op!M360="","",op!M360)</f>
        <v>0</v>
      </c>
      <c r="N427" s="1051" t="str">
        <f t="shared" si="167"/>
        <v/>
      </c>
      <c r="O427" s="1051" t="str">
        <f t="shared" si="168"/>
        <v/>
      </c>
      <c r="P427" s="1125" t="str">
        <f t="shared" si="169"/>
        <v/>
      </c>
      <c r="Q427" s="472"/>
      <c r="R427" s="923" t="str">
        <f t="shared" si="184"/>
        <v/>
      </c>
      <c r="S427" s="923" t="str">
        <f t="shared" si="170"/>
        <v/>
      </c>
      <c r="T427" s="925" t="str">
        <f t="shared" si="171"/>
        <v/>
      </c>
      <c r="U427" s="545"/>
      <c r="V427" s="1103"/>
      <c r="W427" s="1103"/>
      <c r="X427" s="1060"/>
      <c r="Y427" s="1095" t="e">
        <f t="shared" si="172"/>
        <v>#VALUE!</v>
      </c>
      <c r="Z427" s="1094">
        <f>tab!$B$50</f>
        <v>0.6</v>
      </c>
      <c r="AA427" s="1126" t="e">
        <f t="shared" si="173"/>
        <v>#VALUE!</v>
      </c>
      <c r="AB427" s="1126" t="e">
        <f t="shared" si="174"/>
        <v>#VALUE!</v>
      </c>
      <c r="AC427" s="1126" t="e">
        <f t="shared" si="175"/>
        <v>#VALUE!</v>
      </c>
      <c r="AD427" s="1128" t="e">
        <f t="shared" si="176"/>
        <v>#VALUE!</v>
      </c>
      <c r="AE427" s="1128">
        <f t="shared" si="177"/>
        <v>0</v>
      </c>
      <c r="AF427" s="1096">
        <f>IF(H427&gt;8,tab!$B$51,tab!$B$54)</f>
        <v>0.5</v>
      </c>
      <c r="AG427" s="1097">
        <f t="shared" si="178"/>
        <v>0</v>
      </c>
      <c r="AH427" s="1093">
        <f t="shared" si="179"/>
        <v>0</v>
      </c>
      <c r="AI427" s="1120" t="e">
        <f>DATE(YEAR(tab!$G$3),MONTH(G427),DAY(G427))&gt;tab!$G$3</f>
        <v>#VALUE!</v>
      </c>
      <c r="AJ427" s="1097" t="e">
        <f t="shared" si="183"/>
        <v>#VALUE!</v>
      </c>
      <c r="AK427" s="1041">
        <f t="shared" si="180"/>
        <v>30</v>
      </c>
      <c r="AL427" s="1041">
        <f t="shared" si="181"/>
        <v>30</v>
      </c>
      <c r="AM427" s="1047">
        <f t="shared" si="182"/>
        <v>0</v>
      </c>
    </row>
    <row r="428" spans="2:39" x14ac:dyDescent="0.3">
      <c r="B428" s="440"/>
      <c r="C428" s="122"/>
      <c r="D428" s="388" t="str">
        <f>IF(op!D361=0,"",op!D361)</f>
        <v/>
      </c>
      <c r="E428" s="388" t="str">
        <f>IF(op!E361=0,"-",op!E361)</f>
        <v/>
      </c>
      <c r="F428" s="684" t="str">
        <f>IF(op!F361="","",op!F361+1)</f>
        <v/>
      </c>
      <c r="G428" s="710" t="str">
        <f>IF(op!G361="","",op!G361)</f>
        <v/>
      </c>
      <c r="H428" s="684" t="str">
        <f>IF(op!H361=0,"",op!H361)</f>
        <v/>
      </c>
      <c r="I428" s="389" t="str">
        <f>IF(J428="","",(IF(op!I361+1&gt;LOOKUP(H428,schaal2019,regels2019),op!I361,op!I361+1)))</f>
        <v/>
      </c>
      <c r="J428" s="711" t="str">
        <f>IF(op!J361="","",op!J361)</f>
        <v/>
      </c>
      <c r="K428" s="472"/>
      <c r="L428" s="1049">
        <f>IF(op!L361="","",op!L361)</f>
        <v>0</v>
      </c>
      <c r="M428" s="1049">
        <f>IF(op!M361="","",op!M361)</f>
        <v>0</v>
      </c>
      <c r="N428" s="1051" t="str">
        <f t="shared" si="167"/>
        <v/>
      </c>
      <c r="O428" s="1051" t="str">
        <f t="shared" si="168"/>
        <v/>
      </c>
      <c r="P428" s="1125" t="str">
        <f t="shared" si="169"/>
        <v/>
      </c>
      <c r="Q428" s="472"/>
      <c r="R428" s="923" t="str">
        <f t="shared" si="184"/>
        <v/>
      </c>
      <c r="S428" s="923" t="str">
        <f t="shared" si="170"/>
        <v/>
      </c>
      <c r="T428" s="925" t="str">
        <f t="shared" si="171"/>
        <v/>
      </c>
      <c r="U428" s="545"/>
      <c r="V428" s="1103"/>
      <c r="W428" s="1103"/>
      <c r="X428" s="1060"/>
      <c r="Y428" s="1095" t="e">
        <f t="shared" si="172"/>
        <v>#VALUE!</v>
      </c>
      <c r="Z428" s="1094">
        <f>tab!$B$50</f>
        <v>0.6</v>
      </c>
      <c r="AA428" s="1126" t="e">
        <f t="shared" si="173"/>
        <v>#VALUE!</v>
      </c>
      <c r="AB428" s="1126" t="e">
        <f t="shared" si="174"/>
        <v>#VALUE!</v>
      </c>
      <c r="AC428" s="1126" t="e">
        <f t="shared" si="175"/>
        <v>#VALUE!</v>
      </c>
      <c r="AD428" s="1128" t="e">
        <f t="shared" si="176"/>
        <v>#VALUE!</v>
      </c>
      <c r="AE428" s="1128">
        <f t="shared" si="177"/>
        <v>0</v>
      </c>
      <c r="AF428" s="1096">
        <f>IF(H428&gt;8,tab!$B$51,tab!$B$54)</f>
        <v>0.5</v>
      </c>
      <c r="AG428" s="1097">
        <f t="shared" si="178"/>
        <v>0</v>
      </c>
      <c r="AH428" s="1093">
        <f t="shared" si="179"/>
        <v>0</v>
      </c>
      <c r="AI428" s="1120" t="e">
        <f>DATE(YEAR(tab!$G$3),MONTH(G428),DAY(G428))&gt;tab!$G$3</f>
        <v>#VALUE!</v>
      </c>
      <c r="AJ428" s="1097" t="e">
        <f t="shared" si="183"/>
        <v>#VALUE!</v>
      </c>
      <c r="AK428" s="1041">
        <f t="shared" si="180"/>
        <v>30</v>
      </c>
      <c r="AL428" s="1041">
        <f t="shared" si="181"/>
        <v>30</v>
      </c>
      <c r="AM428" s="1047">
        <f t="shared" si="182"/>
        <v>0</v>
      </c>
    </row>
    <row r="429" spans="2:39" x14ac:dyDescent="0.3">
      <c r="B429" s="440"/>
      <c r="C429" s="122"/>
      <c r="D429" s="388" t="str">
        <f>IF(op!D362=0,"",op!D362)</f>
        <v/>
      </c>
      <c r="E429" s="388" t="str">
        <f>IF(op!E362=0,"-",op!E362)</f>
        <v/>
      </c>
      <c r="F429" s="684" t="str">
        <f>IF(op!F362="","",op!F362+1)</f>
        <v/>
      </c>
      <c r="G429" s="710" t="str">
        <f>IF(op!G362="","",op!G362)</f>
        <v/>
      </c>
      <c r="H429" s="684" t="str">
        <f>IF(op!H362=0,"",op!H362)</f>
        <v/>
      </c>
      <c r="I429" s="389" t="str">
        <f>IF(J429="","",(IF(op!I362+1&gt;LOOKUP(H429,schaal2019,regels2019),op!I362,op!I362+1)))</f>
        <v/>
      </c>
      <c r="J429" s="711" t="str">
        <f>IF(op!J362="","",op!J362)</f>
        <v/>
      </c>
      <c r="K429" s="472"/>
      <c r="L429" s="1049">
        <f>IF(op!L362="","",op!L362)</f>
        <v>0</v>
      </c>
      <c r="M429" s="1049">
        <f>IF(op!M362="","",op!M362)</f>
        <v>0</v>
      </c>
      <c r="N429" s="1051" t="str">
        <f t="shared" si="167"/>
        <v/>
      </c>
      <c r="O429" s="1051" t="str">
        <f t="shared" si="168"/>
        <v/>
      </c>
      <c r="P429" s="1125" t="str">
        <f t="shared" si="169"/>
        <v/>
      </c>
      <c r="Q429" s="472"/>
      <c r="R429" s="923" t="str">
        <f t="shared" si="184"/>
        <v/>
      </c>
      <c r="S429" s="923" t="str">
        <f t="shared" si="170"/>
        <v/>
      </c>
      <c r="T429" s="925" t="str">
        <f t="shared" si="171"/>
        <v/>
      </c>
      <c r="U429" s="545"/>
      <c r="V429" s="1103"/>
      <c r="W429" s="1103"/>
      <c r="X429" s="1060"/>
      <c r="Y429" s="1095" t="e">
        <f t="shared" si="172"/>
        <v>#VALUE!</v>
      </c>
      <c r="Z429" s="1094">
        <f>tab!$B$50</f>
        <v>0.6</v>
      </c>
      <c r="AA429" s="1126" t="e">
        <f t="shared" si="173"/>
        <v>#VALUE!</v>
      </c>
      <c r="AB429" s="1126" t="e">
        <f t="shared" si="174"/>
        <v>#VALUE!</v>
      </c>
      <c r="AC429" s="1126" t="e">
        <f t="shared" si="175"/>
        <v>#VALUE!</v>
      </c>
      <c r="AD429" s="1128" t="e">
        <f t="shared" si="176"/>
        <v>#VALUE!</v>
      </c>
      <c r="AE429" s="1128">
        <f t="shared" si="177"/>
        <v>0</v>
      </c>
      <c r="AF429" s="1096">
        <f>IF(H429&gt;8,tab!$B$51,tab!$B$54)</f>
        <v>0.5</v>
      </c>
      <c r="AG429" s="1097">
        <f t="shared" si="178"/>
        <v>0</v>
      </c>
      <c r="AH429" s="1093">
        <f t="shared" si="179"/>
        <v>0</v>
      </c>
      <c r="AI429" s="1120" t="e">
        <f>DATE(YEAR(tab!$G$3),MONTH(G429),DAY(G429))&gt;tab!$G$3</f>
        <v>#VALUE!</v>
      </c>
      <c r="AJ429" s="1097" t="e">
        <f t="shared" si="183"/>
        <v>#VALUE!</v>
      </c>
      <c r="AK429" s="1041">
        <f t="shared" si="180"/>
        <v>30</v>
      </c>
      <c r="AL429" s="1041">
        <f t="shared" si="181"/>
        <v>30</v>
      </c>
      <c r="AM429" s="1047">
        <f t="shared" si="182"/>
        <v>0</v>
      </c>
    </row>
    <row r="430" spans="2:39" x14ac:dyDescent="0.3">
      <c r="B430" s="440"/>
      <c r="C430" s="122"/>
      <c r="D430" s="388" t="str">
        <f>IF(op!D363=0,"",op!D363)</f>
        <v/>
      </c>
      <c r="E430" s="388" t="str">
        <f>IF(op!E363=0,"-",op!E363)</f>
        <v/>
      </c>
      <c r="F430" s="684" t="str">
        <f>IF(op!F363="","",op!F363+1)</f>
        <v/>
      </c>
      <c r="G430" s="710" t="str">
        <f>IF(op!G363="","",op!G363)</f>
        <v/>
      </c>
      <c r="H430" s="684" t="str">
        <f>IF(op!H363=0,"",op!H363)</f>
        <v/>
      </c>
      <c r="I430" s="389" t="str">
        <f>IF(J430="","",(IF(op!I363+1&gt;LOOKUP(H430,schaal2019,regels2019),op!I363,op!I363+1)))</f>
        <v/>
      </c>
      <c r="J430" s="711" t="str">
        <f>IF(op!J363="","",op!J363)</f>
        <v/>
      </c>
      <c r="K430" s="472"/>
      <c r="L430" s="1049">
        <f>IF(op!L363="","",op!L363)</f>
        <v>0</v>
      </c>
      <c r="M430" s="1049">
        <f>IF(op!M363="","",op!M363)</f>
        <v>0</v>
      </c>
      <c r="N430" s="1051" t="str">
        <f t="shared" si="167"/>
        <v/>
      </c>
      <c r="O430" s="1051" t="str">
        <f t="shared" si="168"/>
        <v/>
      </c>
      <c r="P430" s="1125" t="str">
        <f t="shared" si="169"/>
        <v/>
      </c>
      <c r="Q430" s="472"/>
      <c r="R430" s="923" t="str">
        <f t="shared" si="184"/>
        <v/>
      </c>
      <c r="S430" s="923" t="str">
        <f t="shared" si="170"/>
        <v/>
      </c>
      <c r="T430" s="925" t="str">
        <f t="shared" si="171"/>
        <v/>
      </c>
      <c r="U430" s="545"/>
      <c r="V430" s="1103"/>
      <c r="W430" s="1103"/>
      <c r="X430" s="1060"/>
      <c r="Y430" s="1095" t="e">
        <f t="shared" si="172"/>
        <v>#VALUE!</v>
      </c>
      <c r="Z430" s="1094">
        <f>tab!$B$50</f>
        <v>0.6</v>
      </c>
      <c r="AA430" s="1126" t="e">
        <f t="shared" si="173"/>
        <v>#VALUE!</v>
      </c>
      <c r="AB430" s="1126" t="e">
        <f t="shared" si="174"/>
        <v>#VALUE!</v>
      </c>
      <c r="AC430" s="1126" t="e">
        <f t="shared" si="175"/>
        <v>#VALUE!</v>
      </c>
      <c r="AD430" s="1128" t="e">
        <f t="shared" si="176"/>
        <v>#VALUE!</v>
      </c>
      <c r="AE430" s="1128">
        <f t="shared" si="177"/>
        <v>0</v>
      </c>
      <c r="AF430" s="1096">
        <f>IF(H430&gt;8,tab!$B$51,tab!$B$54)</f>
        <v>0.5</v>
      </c>
      <c r="AG430" s="1097">
        <f t="shared" si="178"/>
        <v>0</v>
      </c>
      <c r="AH430" s="1093">
        <f t="shared" si="179"/>
        <v>0</v>
      </c>
      <c r="AI430" s="1120" t="e">
        <f>DATE(YEAR(tab!$G$3),MONTH(G430),DAY(G430))&gt;tab!$G$3</f>
        <v>#VALUE!</v>
      </c>
      <c r="AJ430" s="1097" t="e">
        <f t="shared" si="183"/>
        <v>#VALUE!</v>
      </c>
      <c r="AK430" s="1041">
        <f t="shared" si="180"/>
        <v>30</v>
      </c>
      <c r="AL430" s="1041">
        <f t="shared" si="181"/>
        <v>30</v>
      </c>
      <c r="AM430" s="1047">
        <f t="shared" si="182"/>
        <v>0</v>
      </c>
    </row>
    <row r="431" spans="2:39" x14ac:dyDescent="0.3">
      <c r="B431" s="440"/>
      <c r="C431" s="122"/>
      <c r="D431" s="388" t="str">
        <f>IF(op!D364=0,"",op!D364)</f>
        <v/>
      </c>
      <c r="E431" s="388" t="str">
        <f>IF(op!E364=0,"-",op!E364)</f>
        <v/>
      </c>
      <c r="F431" s="684" t="str">
        <f>IF(op!F364="","",op!F364+1)</f>
        <v/>
      </c>
      <c r="G431" s="710" t="str">
        <f>IF(op!G364="","",op!G364)</f>
        <v/>
      </c>
      <c r="H431" s="684" t="str">
        <f>IF(op!H364=0,"",op!H364)</f>
        <v/>
      </c>
      <c r="I431" s="389" t="str">
        <f>IF(J431="","",(IF(op!I364+1&gt;LOOKUP(H431,schaal2019,regels2019),op!I364,op!I364+1)))</f>
        <v/>
      </c>
      <c r="J431" s="711" t="str">
        <f>IF(op!J364="","",op!J364)</f>
        <v/>
      </c>
      <c r="K431" s="472"/>
      <c r="L431" s="1049">
        <f>IF(op!L364="","",op!L364)</f>
        <v>0</v>
      </c>
      <c r="M431" s="1049">
        <f>IF(op!M364="","",op!M364)</f>
        <v>0</v>
      </c>
      <c r="N431" s="1051" t="str">
        <f t="shared" si="167"/>
        <v/>
      </c>
      <c r="O431" s="1051" t="str">
        <f t="shared" si="168"/>
        <v/>
      </c>
      <c r="P431" s="1125" t="str">
        <f t="shared" si="169"/>
        <v/>
      </c>
      <c r="Q431" s="472"/>
      <c r="R431" s="923" t="str">
        <f t="shared" si="184"/>
        <v/>
      </c>
      <c r="S431" s="923" t="str">
        <f t="shared" si="170"/>
        <v/>
      </c>
      <c r="T431" s="925" t="str">
        <f t="shared" si="171"/>
        <v/>
      </c>
      <c r="U431" s="545"/>
      <c r="V431" s="1103"/>
      <c r="W431" s="1103"/>
      <c r="X431" s="1060"/>
      <c r="Y431" s="1095" t="e">
        <f t="shared" si="172"/>
        <v>#VALUE!</v>
      </c>
      <c r="Z431" s="1094">
        <f>tab!$B$50</f>
        <v>0.6</v>
      </c>
      <c r="AA431" s="1126" t="e">
        <f t="shared" si="173"/>
        <v>#VALUE!</v>
      </c>
      <c r="AB431" s="1126" t="e">
        <f t="shared" si="174"/>
        <v>#VALUE!</v>
      </c>
      <c r="AC431" s="1126" t="e">
        <f t="shared" si="175"/>
        <v>#VALUE!</v>
      </c>
      <c r="AD431" s="1128" t="e">
        <f t="shared" si="176"/>
        <v>#VALUE!</v>
      </c>
      <c r="AE431" s="1128">
        <f t="shared" si="177"/>
        <v>0</v>
      </c>
      <c r="AF431" s="1096">
        <f>IF(H431&gt;8,tab!$B$51,tab!$B$54)</f>
        <v>0.5</v>
      </c>
      <c r="AG431" s="1097">
        <f t="shared" si="178"/>
        <v>0</v>
      </c>
      <c r="AH431" s="1093">
        <f t="shared" si="179"/>
        <v>0</v>
      </c>
      <c r="AI431" s="1120" t="e">
        <f>DATE(YEAR(tab!$G$3),MONTH(G431),DAY(G431))&gt;tab!$G$3</f>
        <v>#VALUE!</v>
      </c>
      <c r="AJ431" s="1097" t="e">
        <f t="shared" si="183"/>
        <v>#VALUE!</v>
      </c>
      <c r="AK431" s="1041">
        <f t="shared" si="180"/>
        <v>30</v>
      </c>
      <c r="AL431" s="1041">
        <f t="shared" si="181"/>
        <v>30</v>
      </c>
      <c r="AM431" s="1047">
        <f t="shared" si="182"/>
        <v>0</v>
      </c>
    </row>
    <row r="432" spans="2:39" x14ac:dyDescent="0.3">
      <c r="B432" s="440"/>
      <c r="C432" s="122"/>
      <c r="D432" s="388" t="str">
        <f>IF(op!D365=0,"",op!D365)</f>
        <v/>
      </c>
      <c r="E432" s="388" t="str">
        <f>IF(op!E365=0,"-",op!E365)</f>
        <v/>
      </c>
      <c r="F432" s="684" t="str">
        <f>IF(op!F365="","",op!F365+1)</f>
        <v/>
      </c>
      <c r="G432" s="710" t="str">
        <f>IF(op!G365="","",op!G365)</f>
        <v/>
      </c>
      <c r="H432" s="684" t="str">
        <f>IF(op!H365=0,"",op!H365)</f>
        <v/>
      </c>
      <c r="I432" s="389" t="str">
        <f>IF(J432="","",(IF(op!I365+1&gt;LOOKUP(H432,schaal2019,regels2019),op!I365,op!I365+1)))</f>
        <v/>
      </c>
      <c r="J432" s="711" t="str">
        <f>IF(op!J365="","",op!J365)</f>
        <v/>
      </c>
      <c r="K432" s="472"/>
      <c r="L432" s="1049">
        <f>IF(op!L365="","",op!L365)</f>
        <v>0</v>
      </c>
      <c r="M432" s="1049">
        <f>IF(op!M365="","",op!M365)</f>
        <v>0</v>
      </c>
      <c r="N432" s="1051" t="str">
        <f t="shared" si="167"/>
        <v/>
      </c>
      <c r="O432" s="1051" t="str">
        <f t="shared" si="168"/>
        <v/>
      </c>
      <c r="P432" s="1125" t="str">
        <f t="shared" si="169"/>
        <v/>
      </c>
      <c r="Q432" s="472"/>
      <c r="R432" s="923" t="str">
        <f t="shared" si="184"/>
        <v/>
      </c>
      <c r="S432" s="923" t="str">
        <f t="shared" si="170"/>
        <v/>
      </c>
      <c r="T432" s="925" t="str">
        <f t="shared" si="171"/>
        <v/>
      </c>
      <c r="U432" s="545"/>
      <c r="V432" s="1103"/>
      <c r="W432" s="1103"/>
      <c r="X432" s="1060"/>
      <c r="Y432" s="1095" t="e">
        <f t="shared" si="172"/>
        <v>#VALUE!</v>
      </c>
      <c r="Z432" s="1094">
        <f>tab!$B$50</f>
        <v>0.6</v>
      </c>
      <c r="AA432" s="1126" t="e">
        <f t="shared" si="173"/>
        <v>#VALUE!</v>
      </c>
      <c r="AB432" s="1126" t="e">
        <f t="shared" si="174"/>
        <v>#VALUE!</v>
      </c>
      <c r="AC432" s="1126" t="e">
        <f t="shared" si="175"/>
        <v>#VALUE!</v>
      </c>
      <c r="AD432" s="1128" t="e">
        <f t="shared" si="176"/>
        <v>#VALUE!</v>
      </c>
      <c r="AE432" s="1128">
        <f t="shared" si="177"/>
        <v>0</v>
      </c>
      <c r="AF432" s="1096">
        <f>IF(H432&gt;8,tab!$B$51,tab!$B$54)</f>
        <v>0.5</v>
      </c>
      <c r="AG432" s="1097">
        <f t="shared" si="178"/>
        <v>0</v>
      </c>
      <c r="AH432" s="1093">
        <f t="shared" si="179"/>
        <v>0</v>
      </c>
      <c r="AI432" s="1120" t="e">
        <f>DATE(YEAR(tab!$G$3),MONTH(G432),DAY(G432))&gt;tab!$G$3</f>
        <v>#VALUE!</v>
      </c>
      <c r="AJ432" s="1097" t="e">
        <f t="shared" si="183"/>
        <v>#VALUE!</v>
      </c>
      <c r="AK432" s="1041">
        <f t="shared" si="180"/>
        <v>30</v>
      </c>
      <c r="AL432" s="1041">
        <f t="shared" si="181"/>
        <v>30</v>
      </c>
      <c r="AM432" s="1047">
        <f t="shared" si="182"/>
        <v>0</v>
      </c>
    </row>
    <row r="433" spans="2:39" x14ac:dyDescent="0.3">
      <c r="B433" s="440"/>
      <c r="C433" s="122"/>
      <c r="D433" s="388" t="str">
        <f>IF(op!D366=0,"",op!D366)</f>
        <v/>
      </c>
      <c r="E433" s="388" t="str">
        <f>IF(op!E366=0,"-",op!E366)</f>
        <v/>
      </c>
      <c r="F433" s="684" t="str">
        <f>IF(op!F366="","",op!F366+1)</f>
        <v/>
      </c>
      <c r="G433" s="710" t="str">
        <f>IF(op!G366="","",op!G366)</f>
        <v/>
      </c>
      <c r="H433" s="684" t="str">
        <f>IF(op!H366=0,"",op!H366)</f>
        <v/>
      </c>
      <c r="I433" s="389" t="str">
        <f>IF(J433="","",(IF(op!I366+1&gt;LOOKUP(H433,schaal2019,regels2019),op!I366,op!I366+1)))</f>
        <v/>
      </c>
      <c r="J433" s="711" t="str">
        <f>IF(op!J366="","",op!J366)</f>
        <v/>
      </c>
      <c r="K433" s="472"/>
      <c r="L433" s="1049">
        <f>IF(op!L366="","",op!L366)</f>
        <v>0</v>
      </c>
      <c r="M433" s="1049">
        <f>IF(op!M366="","",op!M366)</f>
        <v>0</v>
      </c>
      <c r="N433" s="1051" t="str">
        <f t="shared" si="167"/>
        <v/>
      </c>
      <c r="O433" s="1051" t="str">
        <f t="shared" si="168"/>
        <v/>
      </c>
      <c r="P433" s="1125" t="str">
        <f t="shared" si="169"/>
        <v/>
      </c>
      <c r="Q433" s="472"/>
      <c r="R433" s="923" t="str">
        <f t="shared" si="184"/>
        <v/>
      </c>
      <c r="S433" s="923" t="str">
        <f t="shared" si="170"/>
        <v/>
      </c>
      <c r="T433" s="925" t="str">
        <f t="shared" si="171"/>
        <v/>
      </c>
      <c r="U433" s="545"/>
      <c r="V433" s="1103"/>
      <c r="W433" s="1103"/>
      <c r="X433" s="1060"/>
      <c r="Y433" s="1095" t="e">
        <f t="shared" si="172"/>
        <v>#VALUE!</v>
      </c>
      <c r="Z433" s="1094">
        <f>tab!$B$50</f>
        <v>0.6</v>
      </c>
      <c r="AA433" s="1126" t="e">
        <f t="shared" si="173"/>
        <v>#VALUE!</v>
      </c>
      <c r="AB433" s="1126" t="e">
        <f t="shared" si="174"/>
        <v>#VALUE!</v>
      </c>
      <c r="AC433" s="1126" t="e">
        <f t="shared" si="175"/>
        <v>#VALUE!</v>
      </c>
      <c r="AD433" s="1128" t="e">
        <f t="shared" si="176"/>
        <v>#VALUE!</v>
      </c>
      <c r="AE433" s="1128">
        <f t="shared" si="177"/>
        <v>0</v>
      </c>
      <c r="AF433" s="1096">
        <f>IF(H433&gt;8,tab!$B$51,tab!$B$54)</f>
        <v>0.5</v>
      </c>
      <c r="AG433" s="1097">
        <f t="shared" si="178"/>
        <v>0</v>
      </c>
      <c r="AH433" s="1093">
        <f t="shared" si="179"/>
        <v>0</v>
      </c>
      <c r="AI433" s="1120" t="e">
        <f>DATE(YEAR(tab!$G$3),MONTH(G433),DAY(G433))&gt;tab!$G$3</f>
        <v>#VALUE!</v>
      </c>
      <c r="AJ433" s="1097" t="e">
        <f t="shared" si="183"/>
        <v>#VALUE!</v>
      </c>
      <c r="AK433" s="1041">
        <f t="shared" si="180"/>
        <v>30</v>
      </c>
      <c r="AL433" s="1041">
        <f t="shared" si="181"/>
        <v>30</v>
      </c>
      <c r="AM433" s="1047">
        <f t="shared" si="182"/>
        <v>0</v>
      </c>
    </row>
    <row r="434" spans="2:39" x14ac:dyDescent="0.3">
      <c r="B434" s="440"/>
      <c r="C434" s="122"/>
      <c r="D434" s="388" t="str">
        <f>IF(op!D367=0,"",op!D367)</f>
        <v/>
      </c>
      <c r="E434" s="388" t="str">
        <f>IF(op!E367=0,"-",op!E367)</f>
        <v/>
      </c>
      <c r="F434" s="684" t="str">
        <f>IF(op!F367="","",op!F367+1)</f>
        <v/>
      </c>
      <c r="G434" s="710" t="str">
        <f>IF(op!G367="","",op!G367)</f>
        <v/>
      </c>
      <c r="H434" s="684" t="str">
        <f>IF(op!H367=0,"",op!H367)</f>
        <v/>
      </c>
      <c r="I434" s="389" t="str">
        <f>IF(J434="","",(IF(op!I367+1&gt;LOOKUP(H434,schaal2019,regels2019),op!I367,op!I367+1)))</f>
        <v/>
      </c>
      <c r="J434" s="711" t="str">
        <f>IF(op!J367="","",op!J367)</f>
        <v/>
      </c>
      <c r="K434" s="472"/>
      <c r="L434" s="1049">
        <f>IF(op!L367="","",op!L367)</f>
        <v>0</v>
      </c>
      <c r="M434" s="1049">
        <f>IF(op!M367="","",op!M367)</f>
        <v>0</v>
      </c>
      <c r="N434" s="1051" t="str">
        <f t="shared" si="167"/>
        <v/>
      </c>
      <c r="O434" s="1051" t="str">
        <f t="shared" si="168"/>
        <v/>
      </c>
      <c r="P434" s="1125" t="str">
        <f t="shared" si="169"/>
        <v/>
      </c>
      <c r="Q434" s="472"/>
      <c r="R434" s="923" t="str">
        <f t="shared" si="184"/>
        <v/>
      </c>
      <c r="S434" s="923" t="str">
        <f t="shared" si="170"/>
        <v/>
      </c>
      <c r="T434" s="925" t="str">
        <f t="shared" si="171"/>
        <v/>
      </c>
      <c r="U434" s="545"/>
      <c r="V434" s="1103"/>
      <c r="W434" s="1103"/>
      <c r="X434" s="1060"/>
      <c r="Y434" s="1095" t="e">
        <f t="shared" si="172"/>
        <v>#VALUE!</v>
      </c>
      <c r="Z434" s="1094">
        <f>tab!$B$50</f>
        <v>0.6</v>
      </c>
      <c r="AA434" s="1126" t="e">
        <f t="shared" si="173"/>
        <v>#VALUE!</v>
      </c>
      <c r="AB434" s="1126" t="e">
        <f t="shared" si="174"/>
        <v>#VALUE!</v>
      </c>
      <c r="AC434" s="1126" t="e">
        <f t="shared" si="175"/>
        <v>#VALUE!</v>
      </c>
      <c r="AD434" s="1128" t="e">
        <f t="shared" si="176"/>
        <v>#VALUE!</v>
      </c>
      <c r="AE434" s="1128">
        <f t="shared" si="177"/>
        <v>0</v>
      </c>
      <c r="AF434" s="1096">
        <f>IF(H434&gt;8,tab!$B$51,tab!$B$54)</f>
        <v>0.5</v>
      </c>
      <c r="AG434" s="1097">
        <f t="shared" si="178"/>
        <v>0</v>
      </c>
      <c r="AH434" s="1093">
        <f t="shared" si="179"/>
        <v>0</v>
      </c>
      <c r="AI434" s="1120" t="e">
        <f>DATE(YEAR(tab!$G$3),MONTH(G434),DAY(G434))&gt;tab!$G$3</f>
        <v>#VALUE!</v>
      </c>
      <c r="AJ434" s="1097" t="e">
        <f t="shared" si="183"/>
        <v>#VALUE!</v>
      </c>
      <c r="AK434" s="1041">
        <f t="shared" si="180"/>
        <v>30</v>
      </c>
      <c r="AL434" s="1041">
        <f t="shared" si="181"/>
        <v>30</v>
      </c>
      <c r="AM434" s="1047">
        <f t="shared" si="182"/>
        <v>0</v>
      </c>
    </row>
    <row r="435" spans="2:39" x14ac:dyDescent="0.3">
      <c r="B435" s="440"/>
      <c r="C435" s="122"/>
      <c r="D435" s="388" t="str">
        <f>IF(op!D368=0,"",op!D368)</f>
        <v/>
      </c>
      <c r="E435" s="388" t="str">
        <f>IF(op!E368=0,"-",op!E368)</f>
        <v/>
      </c>
      <c r="F435" s="684" t="str">
        <f>IF(op!F368="","",op!F368+1)</f>
        <v/>
      </c>
      <c r="G435" s="710" t="str">
        <f>IF(op!G368="","",op!G368)</f>
        <v/>
      </c>
      <c r="H435" s="684" t="str">
        <f>IF(op!H368=0,"",op!H368)</f>
        <v/>
      </c>
      <c r="I435" s="389" t="str">
        <f>IF(J435="","",(IF(op!I368+1&gt;LOOKUP(H435,schaal2019,regels2019),op!I368,op!I368+1)))</f>
        <v/>
      </c>
      <c r="J435" s="711" t="str">
        <f>IF(op!J368="","",op!J368)</f>
        <v/>
      </c>
      <c r="K435" s="472"/>
      <c r="L435" s="1049">
        <f>IF(op!L368="","",op!L368)</f>
        <v>0</v>
      </c>
      <c r="M435" s="1049">
        <f>IF(op!M368="","",op!M368)</f>
        <v>0</v>
      </c>
      <c r="N435" s="1051" t="str">
        <f t="shared" si="167"/>
        <v/>
      </c>
      <c r="O435" s="1051" t="str">
        <f t="shared" si="168"/>
        <v/>
      </c>
      <c r="P435" s="1125" t="str">
        <f t="shared" si="169"/>
        <v/>
      </c>
      <c r="Q435" s="472"/>
      <c r="R435" s="923" t="str">
        <f t="shared" si="184"/>
        <v/>
      </c>
      <c r="S435" s="923" t="str">
        <f t="shared" si="170"/>
        <v/>
      </c>
      <c r="T435" s="925" t="str">
        <f t="shared" si="171"/>
        <v/>
      </c>
      <c r="U435" s="545"/>
      <c r="V435" s="1103"/>
      <c r="W435" s="1103"/>
      <c r="X435" s="1060"/>
      <c r="Y435" s="1095" t="e">
        <f t="shared" si="172"/>
        <v>#VALUE!</v>
      </c>
      <c r="Z435" s="1094">
        <f>tab!$B$50</f>
        <v>0.6</v>
      </c>
      <c r="AA435" s="1126" t="e">
        <f t="shared" si="173"/>
        <v>#VALUE!</v>
      </c>
      <c r="AB435" s="1126" t="e">
        <f t="shared" si="174"/>
        <v>#VALUE!</v>
      </c>
      <c r="AC435" s="1126" t="e">
        <f t="shared" si="175"/>
        <v>#VALUE!</v>
      </c>
      <c r="AD435" s="1128" t="e">
        <f t="shared" si="176"/>
        <v>#VALUE!</v>
      </c>
      <c r="AE435" s="1128">
        <f t="shared" si="177"/>
        <v>0</v>
      </c>
      <c r="AF435" s="1096">
        <f>IF(H435&gt;8,tab!$B$51,tab!$B$54)</f>
        <v>0.5</v>
      </c>
      <c r="AG435" s="1097">
        <f t="shared" si="178"/>
        <v>0</v>
      </c>
      <c r="AH435" s="1093">
        <f t="shared" si="179"/>
        <v>0</v>
      </c>
      <c r="AI435" s="1120" t="e">
        <f>DATE(YEAR(tab!$G$3),MONTH(G435),DAY(G435))&gt;tab!$G$3</f>
        <v>#VALUE!</v>
      </c>
      <c r="AJ435" s="1097" t="e">
        <f t="shared" si="183"/>
        <v>#VALUE!</v>
      </c>
      <c r="AK435" s="1041">
        <f t="shared" si="180"/>
        <v>30</v>
      </c>
      <c r="AL435" s="1041">
        <f t="shared" si="181"/>
        <v>30</v>
      </c>
      <c r="AM435" s="1047">
        <f t="shared" si="182"/>
        <v>0</v>
      </c>
    </row>
    <row r="436" spans="2:39" x14ac:dyDescent="0.3">
      <c r="B436" s="440"/>
      <c r="C436" s="122"/>
      <c r="D436" s="388" t="str">
        <f>IF(op!D369=0,"",op!D369)</f>
        <v/>
      </c>
      <c r="E436" s="388" t="str">
        <f>IF(op!E369=0,"-",op!E369)</f>
        <v/>
      </c>
      <c r="F436" s="684" t="str">
        <f>IF(op!F369="","",op!F369+1)</f>
        <v/>
      </c>
      <c r="G436" s="710" t="str">
        <f>IF(op!G369="","",op!G369)</f>
        <v/>
      </c>
      <c r="H436" s="684" t="str">
        <f>IF(op!H369=0,"",op!H369)</f>
        <v/>
      </c>
      <c r="I436" s="389" t="str">
        <f>IF(J436="","",(IF(op!I369+1&gt;LOOKUP(H436,schaal2019,regels2019),op!I369,op!I369+1)))</f>
        <v/>
      </c>
      <c r="J436" s="711" t="str">
        <f>IF(op!J369="","",op!J369)</f>
        <v/>
      </c>
      <c r="K436" s="472"/>
      <c r="L436" s="1049">
        <f>IF(op!L369="","",op!L369)</f>
        <v>0</v>
      </c>
      <c r="M436" s="1049">
        <f>IF(op!M369="","",op!M369)</f>
        <v>0</v>
      </c>
      <c r="N436" s="1051" t="str">
        <f t="shared" si="167"/>
        <v/>
      </c>
      <c r="O436" s="1051" t="str">
        <f t="shared" si="168"/>
        <v/>
      </c>
      <c r="P436" s="1125" t="str">
        <f t="shared" si="169"/>
        <v/>
      </c>
      <c r="Q436" s="472"/>
      <c r="R436" s="923" t="str">
        <f t="shared" si="184"/>
        <v/>
      </c>
      <c r="S436" s="923" t="str">
        <f t="shared" si="170"/>
        <v/>
      </c>
      <c r="T436" s="925" t="str">
        <f t="shared" si="171"/>
        <v/>
      </c>
      <c r="U436" s="545"/>
      <c r="V436" s="1103"/>
      <c r="W436" s="1103"/>
      <c r="X436" s="1060"/>
      <c r="Y436" s="1095" t="e">
        <f t="shared" si="172"/>
        <v>#VALUE!</v>
      </c>
      <c r="Z436" s="1094">
        <f>tab!$B$50</f>
        <v>0.6</v>
      </c>
      <c r="AA436" s="1126" t="e">
        <f t="shared" si="173"/>
        <v>#VALUE!</v>
      </c>
      <c r="AB436" s="1126" t="e">
        <f t="shared" si="174"/>
        <v>#VALUE!</v>
      </c>
      <c r="AC436" s="1126" t="e">
        <f t="shared" si="175"/>
        <v>#VALUE!</v>
      </c>
      <c r="AD436" s="1128" t="e">
        <f t="shared" si="176"/>
        <v>#VALUE!</v>
      </c>
      <c r="AE436" s="1128">
        <f t="shared" si="177"/>
        <v>0</v>
      </c>
      <c r="AF436" s="1096">
        <f>IF(H436&gt;8,tab!$B$51,tab!$B$54)</f>
        <v>0.5</v>
      </c>
      <c r="AG436" s="1097">
        <f t="shared" si="178"/>
        <v>0</v>
      </c>
      <c r="AH436" s="1093">
        <f t="shared" si="179"/>
        <v>0</v>
      </c>
      <c r="AI436" s="1120" t="e">
        <f>DATE(YEAR(tab!$G$3),MONTH(G436),DAY(G436))&gt;tab!$G$3</f>
        <v>#VALUE!</v>
      </c>
      <c r="AJ436" s="1097" t="e">
        <f t="shared" si="183"/>
        <v>#VALUE!</v>
      </c>
      <c r="AK436" s="1041">
        <f t="shared" si="180"/>
        <v>30</v>
      </c>
      <c r="AL436" s="1041">
        <f t="shared" si="181"/>
        <v>30</v>
      </c>
      <c r="AM436" s="1047">
        <f t="shared" si="182"/>
        <v>0</v>
      </c>
    </row>
    <row r="437" spans="2:39" x14ac:dyDescent="0.3">
      <c r="B437" s="440"/>
      <c r="C437" s="122"/>
      <c r="D437" s="388" t="str">
        <f>IF(op!D370=0,"",op!D370)</f>
        <v/>
      </c>
      <c r="E437" s="388" t="str">
        <f>IF(op!E370=0,"-",op!E370)</f>
        <v/>
      </c>
      <c r="F437" s="684" t="str">
        <f>IF(op!F370="","",op!F370+1)</f>
        <v/>
      </c>
      <c r="G437" s="710" t="str">
        <f>IF(op!G370="","",op!G370)</f>
        <v/>
      </c>
      <c r="H437" s="684" t="str">
        <f>IF(op!H370=0,"",op!H370)</f>
        <v/>
      </c>
      <c r="I437" s="389" t="str">
        <f>IF(J437="","",(IF(op!I370+1&gt;LOOKUP(H437,schaal2019,regels2019),op!I370,op!I370+1)))</f>
        <v/>
      </c>
      <c r="J437" s="711" t="str">
        <f>IF(op!J370="","",op!J370)</f>
        <v/>
      </c>
      <c r="K437" s="472"/>
      <c r="L437" s="1049">
        <f>IF(op!L370="","",op!L370)</f>
        <v>0</v>
      </c>
      <c r="M437" s="1049">
        <f>IF(op!M370="","",op!M370)</f>
        <v>0</v>
      </c>
      <c r="N437" s="1051" t="str">
        <f t="shared" si="167"/>
        <v/>
      </c>
      <c r="O437" s="1051" t="str">
        <f t="shared" si="168"/>
        <v/>
      </c>
      <c r="P437" s="1125" t="str">
        <f t="shared" si="169"/>
        <v/>
      </c>
      <c r="Q437" s="472"/>
      <c r="R437" s="923" t="str">
        <f t="shared" si="184"/>
        <v/>
      </c>
      <c r="S437" s="923" t="str">
        <f t="shared" si="170"/>
        <v/>
      </c>
      <c r="T437" s="925" t="str">
        <f t="shared" si="171"/>
        <v/>
      </c>
      <c r="U437" s="545"/>
      <c r="V437" s="1103"/>
      <c r="W437" s="1103"/>
      <c r="X437" s="1060"/>
      <c r="Y437" s="1095" t="e">
        <f t="shared" si="172"/>
        <v>#VALUE!</v>
      </c>
      <c r="Z437" s="1094">
        <f>tab!$B$50</f>
        <v>0.6</v>
      </c>
      <c r="AA437" s="1126" t="e">
        <f t="shared" si="173"/>
        <v>#VALUE!</v>
      </c>
      <c r="AB437" s="1126" t="e">
        <f t="shared" si="174"/>
        <v>#VALUE!</v>
      </c>
      <c r="AC437" s="1126" t="e">
        <f t="shared" si="175"/>
        <v>#VALUE!</v>
      </c>
      <c r="AD437" s="1128" t="e">
        <f t="shared" si="176"/>
        <v>#VALUE!</v>
      </c>
      <c r="AE437" s="1128">
        <f t="shared" si="177"/>
        <v>0</v>
      </c>
      <c r="AF437" s="1096">
        <f>IF(H437&gt;8,tab!$B$51,tab!$B$54)</f>
        <v>0.5</v>
      </c>
      <c r="AG437" s="1097">
        <f t="shared" si="178"/>
        <v>0</v>
      </c>
      <c r="AH437" s="1093">
        <f t="shared" si="179"/>
        <v>0</v>
      </c>
      <c r="AI437" s="1120" t="e">
        <f>DATE(YEAR(tab!$G$3),MONTH(G437),DAY(G437))&gt;tab!$G$3</f>
        <v>#VALUE!</v>
      </c>
      <c r="AJ437" s="1097" t="e">
        <f t="shared" si="183"/>
        <v>#VALUE!</v>
      </c>
      <c r="AK437" s="1041">
        <f t="shared" si="180"/>
        <v>30</v>
      </c>
      <c r="AL437" s="1041">
        <f t="shared" si="181"/>
        <v>30</v>
      </c>
      <c r="AM437" s="1047">
        <f t="shared" si="182"/>
        <v>0</v>
      </c>
    </row>
    <row r="438" spans="2:39" x14ac:dyDescent="0.3">
      <c r="B438" s="440"/>
      <c r="C438" s="122"/>
      <c r="D438" s="388" t="str">
        <f>IF(op!D371=0,"",op!D371)</f>
        <v/>
      </c>
      <c r="E438" s="388" t="str">
        <f>IF(op!E371=0,"-",op!E371)</f>
        <v/>
      </c>
      <c r="F438" s="684" t="str">
        <f>IF(op!F371="","",op!F371+1)</f>
        <v/>
      </c>
      <c r="G438" s="710" t="str">
        <f>IF(op!G371="","",op!G371)</f>
        <v/>
      </c>
      <c r="H438" s="684" t="str">
        <f>IF(op!H371=0,"",op!H371)</f>
        <v/>
      </c>
      <c r="I438" s="389" t="str">
        <f>IF(J438="","",(IF(op!I371+1&gt;LOOKUP(H438,schaal2019,regels2019),op!I371,op!I371+1)))</f>
        <v/>
      </c>
      <c r="J438" s="711" t="str">
        <f>IF(op!J371="","",op!J371)</f>
        <v/>
      </c>
      <c r="K438" s="472"/>
      <c r="L438" s="1049">
        <f>IF(op!L371="","",op!L371)</f>
        <v>0</v>
      </c>
      <c r="M438" s="1049">
        <f>IF(op!M371="","",op!M371)</f>
        <v>0</v>
      </c>
      <c r="N438" s="1051" t="str">
        <f t="shared" si="167"/>
        <v/>
      </c>
      <c r="O438" s="1051" t="str">
        <f t="shared" si="168"/>
        <v/>
      </c>
      <c r="P438" s="1125" t="str">
        <f t="shared" si="169"/>
        <v/>
      </c>
      <c r="Q438" s="472"/>
      <c r="R438" s="923" t="str">
        <f t="shared" si="184"/>
        <v/>
      </c>
      <c r="S438" s="923" t="str">
        <f t="shared" si="170"/>
        <v/>
      </c>
      <c r="T438" s="925" t="str">
        <f t="shared" si="171"/>
        <v/>
      </c>
      <c r="U438" s="545"/>
      <c r="V438" s="1103"/>
      <c r="W438" s="1103"/>
      <c r="X438" s="1060"/>
      <c r="Y438" s="1095" t="e">
        <f t="shared" si="172"/>
        <v>#VALUE!</v>
      </c>
      <c r="Z438" s="1094">
        <f>tab!$B$50</f>
        <v>0.6</v>
      </c>
      <c r="AA438" s="1126" t="e">
        <f t="shared" si="173"/>
        <v>#VALUE!</v>
      </c>
      <c r="AB438" s="1126" t="e">
        <f t="shared" si="174"/>
        <v>#VALUE!</v>
      </c>
      <c r="AC438" s="1126" t="e">
        <f t="shared" si="175"/>
        <v>#VALUE!</v>
      </c>
      <c r="AD438" s="1128" t="e">
        <f t="shared" si="176"/>
        <v>#VALUE!</v>
      </c>
      <c r="AE438" s="1128">
        <f t="shared" si="177"/>
        <v>0</v>
      </c>
      <c r="AF438" s="1096">
        <f>IF(H438&gt;8,tab!$B$51,tab!$B$54)</f>
        <v>0.5</v>
      </c>
      <c r="AG438" s="1097">
        <f t="shared" si="178"/>
        <v>0</v>
      </c>
      <c r="AH438" s="1093">
        <f t="shared" si="179"/>
        <v>0</v>
      </c>
      <c r="AI438" s="1120" t="e">
        <f>DATE(YEAR(tab!$G$3),MONTH(G438),DAY(G438))&gt;tab!$G$3</f>
        <v>#VALUE!</v>
      </c>
      <c r="AJ438" s="1097" t="e">
        <f t="shared" si="183"/>
        <v>#VALUE!</v>
      </c>
      <c r="AK438" s="1041">
        <f t="shared" si="180"/>
        <v>30</v>
      </c>
      <c r="AL438" s="1041">
        <f t="shared" si="181"/>
        <v>30</v>
      </c>
      <c r="AM438" s="1047">
        <f t="shared" si="182"/>
        <v>0</v>
      </c>
    </row>
    <row r="439" spans="2:39" x14ac:dyDescent="0.3">
      <c r="C439" s="122"/>
      <c r="D439" s="388" t="str">
        <f>IF(op!D372=0,"",op!D372)</f>
        <v/>
      </c>
      <c r="E439" s="388" t="str">
        <f>IF(op!E372=0,"-",op!E372)</f>
        <v/>
      </c>
      <c r="F439" s="684" t="str">
        <f>IF(op!F372="","",op!F372+1)</f>
        <v/>
      </c>
      <c r="G439" s="710" t="str">
        <f>IF(op!G372="","",op!G372)</f>
        <v/>
      </c>
      <c r="H439" s="684" t="str">
        <f>IF(op!H372=0,"",op!H372)</f>
        <v/>
      </c>
      <c r="I439" s="389" t="str">
        <f>IF(J439="","",(IF(op!I372+1&gt;LOOKUP(H439,schaal2019,regels2019),op!I372,op!I372+1)))</f>
        <v/>
      </c>
      <c r="J439" s="711" t="str">
        <f>IF(op!J372="","",op!J372)</f>
        <v/>
      </c>
      <c r="K439" s="472"/>
      <c r="L439" s="1049">
        <f>IF(op!L372="","",op!L372)</f>
        <v>0</v>
      </c>
      <c r="M439" s="1049">
        <f>IF(op!M372="","",op!M372)</f>
        <v>0</v>
      </c>
      <c r="N439" s="1051" t="str">
        <f t="shared" si="167"/>
        <v/>
      </c>
      <c r="O439" s="1051" t="str">
        <f t="shared" si="168"/>
        <v/>
      </c>
      <c r="P439" s="1125" t="str">
        <f t="shared" si="169"/>
        <v/>
      </c>
      <c r="Q439" s="472"/>
      <c r="R439" s="923" t="str">
        <f t="shared" si="184"/>
        <v/>
      </c>
      <c r="S439" s="923" t="str">
        <f t="shared" si="170"/>
        <v/>
      </c>
      <c r="T439" s="925" t="str">
        <f t="shared" si="171"/>
        <v/>
      </c>
      <c r="U439" s="545"/>
      <c r="V439" s="1103"/>
      <c r="W439" s="1103"/>
      <c r="X439" s="1060"/>
      <c r="Y439" s="1095" t="e">
        <f t="shared" si="172"/>
        <v>#VALUE!</v>
      </c>
      <c r="Z439" s="1094">
        <f>tab!$B$50</f>
        <v>0.6</v>
      </c>
      <c r="AA439" s="1126" t="e">
        <f t="shared" si="173"/>
        <v>#VALUE!</v>
      </c>
      <c r="AB439" s="1126" t="e">
        <f t="shared" si="174"/>
        <v>#VALUE!</v>
      </c>
      <c r="AC439" s="1126" t="e">
        <f t="shared" si="175"/>
        <v>#VALUE!</v>
      </c>
      <c r="AD439" s="1128" t="e">
        <f t="shared" si="176"/>
        <v>#VALUE!</v>
      </c>
      <c r="AE439" s="1128">
        <f t="shared" si="177"/>
        <v>0</v>
      </c>
      <c r="AF439" s="1096">
        <f>IF(H439&gt;8,tab!$B$51,tab!$B$54)</f>
        <v>0.5</v>
      </c>
      <c r="AG439" s="1097">
        <f t="shared" si="178"/>
        <v>0</v>
      </c>
      <c r="AH439" s="1093">
        <f t="shared" si="179"/>
        <v>0</v>
      </c>
      <c r="AI439" s="1120" t="e">
        <f>DATE(YEAR(tab!$G$3),MONTH(G439),DAY(G439))&gt;tab!$G$3</f>
        <v>#VALUE!</v>
      </c>
      <c r="AJ439" s="1097" t="e">
        <f t="shared" si="183"/>
        <v>#VALUE!</v>
      </c>
      <c r="AK439" s="1041">
        <f t="shared" si="180"/>
        <v>30</v>
      </c>
      <c r="AL439" s="1041">
        <f t="shared" si="181"/>
        <v>30</v>
      </c>
      <c r="AM439" s="1047">
        <f t="shared" si="182"/>
        <v>0</v>
      </c>
    </row>
    <row r="440" spans="2:39" x14ac:dyDescent="0.3">
      <c r="C440" s="122"/>
      <c r="D440" s="388" t="str">
        <f>IF(op!D373=0,"",op!D373)</f>
        <v/>
      </c>
      <c r="E440" s="388" t="str">
        <f>IF(op!E373=0,"-",op!E373)</f>
        <v/>
      </c>
      <c r="F440" s="684" t="str">
        <f>IF(op!F373="","",op!F373+1)</f>
        <v/>
      </c>
      <c r="G440" s="710" t="str">
        <f>IF(op!G373="","",op!G373)</f>
        <v/>
      </c>
      <c r="H440" s="684" t="str">
        <f>IF(op!H373=0,"",op!H373)</f>
        <v/>
      </c>
      <c r="I440" s="389" t="str">
        <f>IF(J440="","",(IF(op!I373+1&gt;LOOKUP(H440,schaal2019,regels2019),op!I373,op!I373+1)))</f>
        <v/>
      </c>
      <c r="J440" s="711" t="str">
        <f>IF(op!J373="","",op!J373)</f>
        <v/>
      </c>
      <c r="K440" s="472"/>
      <c r="L440" s="1049">
        <f>IF(op!L373="","",op!L373)</f>
        <v>0</v>
      </c>
      <c r="M440" s="1049">
        <f>IF(op!M373="","",op!M373)</f>
        <v>0</v>
      </c>
      <c r="N440" s="1051" t="str">
        <f t="shared" si="167"/>
        <v/>
      </c>
      <c r="O440" s="1051" t="str">
        <f t="shared" si="168"/>
        <v/>
      </c>
      <c r="P440" s="1125" t="str">
        <f t="shared" si="169"/>
        <v/>
      </c>
      <c r="Q440" s="472"/>
      <c r="R440" s="923" t="str">
        <f t="shared" si="184"/>
        <v/>
      </c>
      <c r="S440" s="923" t="str">
        <f t="shared" si="170"/>
        <v/>
      </c>
      <c r="T440" s="925" t="str">
        <f t="shared" si="171"/>
        <v/>
      </c>
      <c r="U440" s="545"/>
      <c r="V440" s="1103"/>
      <c r="W440" s="1103"/>
      <c r="X440" s="1060"/>
      <c r="Y440" s="1095" t="e">
        <f t="shared" si="172"/>
        <v>#VALUE!</v>
      </c>
      <c r="Z440" s="1094">
        <f>tab!$B$50</f>
        <v>0.6</v>
      </c>
      <c r="AA440" s="1126" t="e">
        <f t="shared" si="173"/>
        <v>#VALUE!</v>
      </c>
      <c r="AB440" s="1126" t="e">
        <f t="shared" si="174"/>
        <v>#VALUE!</v>
      </c>
      <c r="AC440" s="1126" t="e">
        <f t="shared" si="175"/>
        <v>#VALUE!</v>
      </c>
      <c r="AD440" s="1128" t="e">
        <f t="shared" si="176"/>
        <v>#VALUE!</v>
      </c>
      <c r="AE440" s="1128">
        <f t="shared" si="177"/>
        <v>0</v>
      </c>
      <c r="AF440" s="1096">
        <f>IF(H440&gt;8,tab!$B$51,tab!$B$54)</f>
        <v>0.5</v>
      </c>
      <c r="AG440" s="1097">
        <f t="shared" si="178"/>
        <v>0</v>
      </c>
      <c r="AH440" s="1093">
        <f t="shared" si="179"/>
        <v>0</v>
      </c>
      <c r="AI440" s="1120" t="e">
        <f>DATE(YEAR(tab!$G$3),MONTH(G440),DAY(G440))&gt;tab!$G$3</f>
        <v>#VALUE!</v>
      </c>
      <c r="AJ440" s="1097" t="e">
        <f t="shared" si="183"/>
        <v>#VALUE!</v>
      </c>
      <c r="AK440" s="1041">
        <f t="shared" si="180"/>
        <v>30</v>
      </c>
      <c r="AL440" s="1041">
        <f t="shared" si="181"/>
        <v>30</v>
      </c>
      <c r="AM440" s="1047">
        <f t="shared" si="182"/>
        <v>0</v>
      </c>
    </row>
    <row r="441" spans="2:39" x14ac:dyDescent="0.3">
      <c r="C441" s="122"/>
      <c r="D441" s="388" t="str">
        <f>IF(op!D374=0,"",op!D374)</f>
        <v/>
      </c>
      <c r="E441" s="388" t="str">
        <f>IF(op!E374=0,"-",op!E374)</f>
        <v/>
      </c>
      <c r="F441" s="684" t="str">
        <f>IF(op!F374="","",op!F374+1)</f>
        <v/>
      </c>
      <c r="G441" s="710" t="str">
        <f>IF(op!G374="","",op!G374)</f>
        <v/>
      </c>
      <c r="H441" s="684" t="str">
        <f>IF(op!H374=0,"",op!H374)</f>
        <v/>
      </c>
      <c r="I441" s="389" t="str">
        <f>IF(J441="","",(IF(op!I374+1&gt;LOOKUP(H441,schaal2019,regels2019),op!I374,op!I374+1)))</f>
        <v/>
      </c>
      <c r="J441" s="711" t="str">
        <f>IF(op!J374="","",op!J374)</f>
        <v/>
      </c>
      <c r="K441" s="472"/>
      <c r="L441" s="1049">
        <f>IF(op!L374="","",op!L374)</f>
        <v>0</v>
      </c>
      <c r="M441" s="1049">
        <f>IF(op!M374="","",op!M374)</f>
        <v>0</v>
      </c>
      <c r="N441" s="1051" t="str">
        <f t="shared" si="167"/>
        <v/>
      </c>
      <c r="O441" s="1051" t="str">
        <f t="shared" si="168"/>
        <v/>
      </c>
      <c r="P441" s="1125" t="str">
        <f t="shared" si="169"/>
        <v/>
      </c>
      <c r="Q441" s="472"/>
      <c r="R441" s="923" t="str">
        <f t="shared" si="184"/>
        <v/>
      </c>
      <c r="S441" s="923" t="str">
        <f t="shared" si="170"/>
        <v/>
      </c>
      <c r="T441" s="925" t="str">
        <f t="shared" si="171"/>
        <v/>
      </c>
      <c r="U441" s="545"/>
      <c r="V441" s="1103"/>
      <c r="W441" s="1103"/>
      <c r="X441" s="1060"/>
      <c r="Y441" s="1095" t="e">
        <f t="shared" si="172"/>
        <v>#VALUE!</v>
      </c>
      <c r="Z441" s="1094">
        <f>tab!$B$50</f>
        <v>0.6</v>
      </c>
      <c r="AA441" s="1126" t="e">
        <f t="shared" si="173"/>
        <v>#VALUE!</v>
      </c>
      <c r="AB441" s="1126" t="e">
        <f t="shared" si="174"/>
        <v>#VALUE!</v>
      </c>
      <c r="AC441" s="1126" t="e">
        <f t="shared" si="175"/>
        <v>#VALUE!</v>
      </c>
      <c r="AD441" s="1128" t="e">
        <f t="shared" si="176"/>
        <v>#VALUE!</v>
      </c>
      <c r="AE441" s="1128">
        <f t="shared" si="177"/>
        <v>0</v>
      </c>
      <c r="AF441" s="1096">
        <f>IF(H441&gt;8,tab!$B$51,tab!$B$54)</f>
        <v>0.5</v>
      </c>
      <c r="AG441" s="1097">
        <f t="shared" si="178"/>
        <v>0</v>
      </c>
      <c r="AH441" s="1093">
        <f t="shared" si="179"/>
        <v>0</v>
      </c>
      <c r="AI441" s="1120" t="e">
        <f>DATE(YEAR(tab!$G$3),MONTH(G441),DAY(G441))&gt;tab!$G$3</f>
        <v>#VALUE!</v>
      </c>
      <c r="AJ441" s="1097" t="e">
        <f t="shared" si="183"/>
        <v>#VALUE!</v>
      </c>
      <c r="AK441" s="1041">
        <f t="shared" si="180"/>
        <v>30</v>
      </c>
      <c r="AL441" s="1041">
        <f t="shared" si="181"/>
        <v>30</v>
      </c>
      <c r="AM441" s="1047">
        <f t="shared" si="182"/>
        <v>0</v>
      </c>
    </row>
    <row r="442" spans="2:39" x14ac:dyDescent="0.3">
      <c r="C442" s="122"/>
      <c r="D442" s="388" t="str">
        <f>IF(op!D375=0,"",op!D375)</f>
        <v/>
      </c>
      <c r="E442" s="388" t="str">
        <f>IF(op!E375=0,"-",op!E375)</f>
        <v/>
      </c>
      <c r="F442" s="684" t="str">
        <f>IF(op!F375="","",op!F375+1)</f>
        <v/>
      </c>
      <c r="G442" s="710" t="str">
        <f>IF(op!G375="","",op!G375)</f>
        <v/>
      </c>
      <c r="H442" s="684" t="str">
        <f>IF(op!H375=0,"",op!H375)</f>
        <v/>
      </c>
      <c r="I442" s="389" t="str">
        <f>IF(J442="","",(IF(op!I375+1&gt;LOOKUP(H442,schaal2019,regels2019),op!I375,op!I375+1)))</f>
        <v/>
      </c>
      <c r="J442" s="711" t="str">
        <f>IF(op!J375="","",op!J375)</f>
        <v/>
      </c>
      <c r="K442" s="472"/>
      <c r="L442" s="1049">
        <f>IF(op!L375="","",op!L375)</f>
        <v>0</v>
      </c>
      <c r="M442" s="1049">
        <f>IF(op!M375="","",op!M375)</f>
        <v>0</v>
      </c>
      <c r="N442" s="1051" t="str">
        <f t="shared" si="167"/>
        <v/>
      </c>
      <c r="O442" s="1051" t="str">
        <f t="shared" si="168"/>
        <v/>
      </c>
      <c r="P442" s="1125" t="str">
        <f t="shared" si="169"/>
        <v/>
      </c>
      <c r="Q442" s="472"/>
      <c r="R442" s="923" t="str">
        <f t="shared" si="184"/>
        <v/>
      </c>
      <c r="S442" s="923" t="str">
        <f t="shared" si="170"/>
        <v/>
      </c>
      <c r="T442" s="925" t="str">
        <f t="shared" si="171"/>
        <v/>
      </c>
      <c r="U442" s="545"/>
      <c r="V442" s="1103"/>
      <c r="W442" s="1103"/>
      <c r="X442" s="1060"/>
      <c r="Y442" s="1095" t="e">
        <f t="shared" si="172"/>
        <v>#VALUE!</v>
      </c>
      <c r="Z442" s="1094">
        <f>tab!$B$50</f>
        <v>0.6</v>
      </c>
      <c r="AA442" s="1126" t="e">
        <f t="shared" si="173"/>
        <v>#VALUE!</v>
      </c>
      <c r="AB442" s="1126" t="e">
        <f t="shared" si="174"/>
        <v>#VALUE!</v>
      </c>
      <c r="AC442" s="1126" t="e">
        <f t="shared" si="175"/>
        <v>#VALUE!</v>
      </c>
      <c r="AD442" s="1128" t="e">
        <f t="shared" si="176"/>
        <v>#VALUE!</v>
      </c>
      <c r="AE442" s="1128">
        <f t="shared" si="177"/>
        <v>0</v>
      </c>
      <c r="AF442" s="1096">
        <f>IF(H442&gt;8,tab!$B$51,tab!$B$54)</f>
        <v>0.5</v>
      </c>
      <c r="AG442" s="1097">
        <f t="shared" si="178"/>
        <v>0</v>
      </c>
      <c r="AH442" s="1093">
        <f t="shared" si="179"/>
        <v>0</v>
      </c>
      <c r="AI442" s="1120" t="e">
        <f>DATE(YEAR(tab!$G$3),MONTH(G442),DAY(G442))&gt;tab!$G$3</f>
        <v>#VALUE!</v>
      </c>
      <c r="AJ442" s="1097" t="e">
        <f t="shared" si="183"/>
        <v>#VALUE!</v>
      </c>
      <c r="AK442" s="1041">
        <f t="shared" si="180"/>
        <v>30</v>
      </c>
      <c r="AL442" s="1041">
        <f t="shared" si="181"/>
        <v>30</v>
      </c>
      <c r="AM442" s="1047">
        <f t="shared" si="182"/>
        <v>0</v>
      </c>
    </row>
    <row r="443" spans="2:39" x14ac:dyDescent="0.3">
      <c r="C443" s="122"/>
      <c r="D443" s="388" t="str">
        <f>IF(op!D376=0,"",op!D376)</f>
        <v/>
      </c>
      <c r="E443" s="388" t="str">
        <f>IF(op!E376=0,"-",op!E376)</f>
        <v/>
      </c>
      <c r="F443" s="684" t="str">
        <f>IF(op!F376="","",op!F376+1)</f>
        <v/>
      </c>
      <c r="G443" s="710" t="str">
        <f>IF(op!G376="","",op!G376)</f>
        <v/>
      </c>
      <c r="H443" s="684" t="str">
        <f>IF(op!H376=0,"",op!H376)</f>
        <v/>
      </c>
      <c r="I443" s="389" t="str">
        <f>IF(J443="","",(IF(op!I376+1&gt;LOOKUP(H443,schaal2019,regels2019),op!I376,op!I376+1)))</f>
        <v/>
      </c>
      <c r="J443" s="711" t="str">
        <f>IF(op!J376="","",op!J376)</f>
        <v/>
      </c>
      <c r="K443" s="472"/>
      <c r="L443" s="1049">
        <f>IF(op!L376="","",op!L376)</f>
        <v>0</v>
      </c>
      <c r="M443" s="1049">
        <f>IF(op!M376="","",op!M376)</f>
        <v>0</v>
      </c>
      <c r="N443" s="1051" t="str">
        <f t="shared" si="167"/>
        <v/>
      </c>
      <c r="O443" s="1051" t="str">
        <f t="shared" si="168"/>
        <v/>
      </c>
      <c r="P443" s="1125" t="str">
        <f t="shared" si="169"/>
        <v/>
      </c>
      <c r="Q443" s="472"/>
      <c r="R443" s="923" t="str">
        <f t="shared" si="184"/>
        <v/>
      </c>
      <c r="S443" s="923" t="str">
        <f t="shared" si="170"/>
        <v/>
      </c>
      <c r="T443" s="925" t="str">
        <f t="shared" si="171"/>
        <v/>
      </c>
      <c r="U443" s="545"/>
      <c r="V443" s="1103"/>
      <c r="W443" s="1103"/>
      <c r="X443" s="1060"/>
      <c r="Y443" s="1095" t="e">
        <f t="shared" si="172"/>
        <v>#VALUE!</v>
      </c>
      <c r="Z443" s="1094">
        <f>tab!$B$50</f>
        <v>0.6</v>
      </c>
      <c r="AA443" s="1126" t="e">
        <f t="shared" si="173"/>
        <v>#VALUE!</v>
      </c>
      <c r="AB443" s="1126" t="e">
        <f t="shared" si="174"/>
        <v>#VALUE!</v>
      </c>
      <c r="AC443" s="1126" t="e">
        <f t="shared" si="175"/>
        <v>#VALUE!</v>
      </c>
      <c r="AD443" s="1128" t="e">
        <f t="shared" si="176"/>
        <v>#VALUE!</v>
      </c>
      <c r="AE443" s="1128">
        <f t="shared" si="177"/>
        <v>0</v>
      </c>
      <c r="AF443" s="1096">
        <f>IF(H443&gt;8,tab!$B$51,tab!$B$54)</f>
        <v>0.5</v>
      </c>
      <c r="AG443" s="1097">
        <f t="shared" si="178"/>
        <v>0</v>
      </c>
      <c r="AH443" s="1093">
        <f t="shared" si="179"/>
        <v>0</v>
      </c>
      <c r="AI443" s="1120" t="e">
        <f>DATE(YEAR(tab!$G$3),MONTH(G443),DAY(G443))&gt;tab!$G$3</f>
        <v>#VALUE!</v>
      </c>
      <c r="AJ443" s="1097" t="e">
        <f t="shared" si="183"/>
        <v>#VALUE!</v>
      </c>
      <c r="AK443" s="1041">
        <f t="shared" si="180"/>
        <v>30</v>
      </c>
      <c r="AL443" s="1041">
        <f t="shared" si="181"/>
        <v>30</v>
      </c>
      <c r="AM443" s="1047">
        <f t="shared" si="182"/>
        <v>0</v>
      </c>
    </row>
    <row r="444" spans="2:39" x14ac:dyDescent="0.3">
      <c r="C444" s="122"/>
      <c r="D444" s="388" t="str">
        <f>IF(op!D377=0,"",op!D377)</f>
        <v/>
      </c>
      <c r="E444" s="388" t="str">
        <f>IF(op!E377=0,"-",op!E377)</f>
        <v/>
      </c>
      <c r="F444" s="684" t="str">
        <f>IF(op!F377="","",op!F377+1)</f>
        <v/>
      </c>
      <c r="G444" s="710" t="str">
        <f>IF(op!G377="","",op!G377)</f>
        <v/>
      </c>
      <c r="H444" s="684" t="str">
        <f>IF(op!H377=0,"",op!H377)</f>
        <v/>
      </c>
      <c r="I444" s="389" t="str">
        <f>IF(J444="","",(IF(op!I377+1&gt;LOOKUP(H444,schaal2019,regels2019),op!I377,op!I377+1)))</f>
        <v/>
      </c>
      <c r="J444" s="711" t="str">
        <f>IF(op!J377="","",op!J377)</f>
        <v/>
      </c>
      <c r="K444" s="472"/>
      <c r="L444" s="1049">
        <f>IF(op!L377="","",op!L377)</f>
        <v>0</v>
      </c>
      <c r="M444" s="1049">
        <f>IF(op!M377="","",op!M377)</f>
        <v>0</v>
      </c>
      <c r="N444" s="1051" t="str">
        <f t="shared" si="167"/>
        <v/>
      </c>
      <c r="O444" s="1051" t="str">
        <f t="shared" si="168"/>
        <v/>
      </c>
      <c r="P444" s="1125" t="str">
        <f t="shared" si="169"/>
        <v/>
      </c>
      <c r="Q444" s="472"/>
      <c r="R444" s="923" t="str">
        <f t="shared" si="184"/>
        <v/>
      </c>
      <c r="S444" s="923" t="str">
        <f t="shared" si="170"/>
        <v/>
      </c>
      <c r="T444" s="925" t="str">
        <f t="shared" si="171"/>
        <v/>
      </c>
      <c r="U444" s="545"/>
      <c r="V444" s="1103"/>
      <c r="W444" s="1103"/>
      <c r="X444" s="1060"/>
      <c r="Y444" s="1095" t="e">
        <f t="shared" si="172"/>
        <v>#VALUE!</v>
      </c>
      <c r="Z444" s="1094">
        <f>tab!$B$50</f>
        <v>0.6</v>
      </c>
      <c r="AA444" s="1126" t="e">
        <f t="shared" si="173"/>
        <v>#VALUE!</v>
      </c>
      <c r="AB444" s="1126" t="e">
        <f t="shared" si="174"/>
        <v>#VALUE!</v>
      </c>
      <c r="AC444" s="1126" t="e">
        <f t="shared" si="175"/>
        <v>#VALUE!</v>
      </c>
      <c r="AD444" s="1128" t="e">
        <f t="shared" si="176"/>
        <v>#VALUE!</v>
      </c>
      <c r="AE444" s="1128">
        <f t="shared" si="177"/>
        <v>0</v>
      </c>
      <c r="AF444" s="1096">
        <f>IF(H444&gt;8,tab!$B$51,tab!$B$54)</f>
        <v>0.5</v>
      </c>
      <c r="AG444" s="1097">
        <f t="shared" si="178"/>
        <v>0</v>
      </c>
      <c r="AH444" s="1093">
        <f t="shared" si="179"/>
        <v>0</v>
      </c>
      <c r="AI444" s="1120" t="e">
        <f>DATE(YEAR(tab!$G$3),MONTH(G444),DAY(G444))&gt;tab!$G$3</f>
        <v>#VALUE!</v>
      </c>
      <c r="AJ444" s="1097" t="e">
        <f t="shared" si="183"/>
        <v>#VALUE!</v>
      </c>
      <c r="AK444" s="1041">
        <f t="shared" si="180"/>
        <v>30</v>
      </c>
      <c r="AL444" s="1041">
        <f t="shared" si="181"/>
        <v>30</v>
      </c>
      <c r="AM444" s="1047">
        <f t="shared" si="182"/>
        <v>0</v>
      </c>
    </row>
    <row r="445" spans="2:39" x14ac:dyDescent="0.3">
      <c r="C445" s="122"/>
      <c r="D445" s="388" t="str">
        <f>IF(op!D378=0,"",op!D378)</f>
        <v/>
      </c>
      <c r="E445" s="388" t="str">
        <f>IF(op!E378=0,"-",op!E378)</f>
        <v/>
      </c>
      <c r="F445" s="684" t="str">
        <f>IF(op!F378="","",op!F378+1)</f>
        <v/>
      </c>
      <c r="G445" s="710" t="str">
        <f>IF(op!G378="","",op!G378)</f>
        <v/>
      </c>
      <c r="H445" s="684" t="str">
        <f>IF(op!H378=0,"",op!H378)</f>
        <v/>
      </c>
      <c r="I445" s="389" t="str">
        <f>IF(J445="","",(IF(op!I378+1&gt;LOOKUP(H445,schaal2019,regels2019),op!I378,op!I378+1)))</f>
        <v/>
      </c>
      <c r="J445" s="711" t="str">
        <f>IF(op!J378="","",op!J378)</f>
        <v/>
      </c>
      <c r="K445" s="472"/>
      <c r="L445" s="1049">
        <f>IF(op!L378="","",op!L378)</f>
        <v>0</v>
      </c>
      <c r="M445" s="1049">
        <f>IF(op!M378="","",op!M378)</f>
        <v>0</v>
      </c>
      <c r="N445" s="1051" t="str">
        <f t="shared" si="167"/>
        <v/>
      </c>
      <c r="O445" s="1051" t="str">
        <f t="shared" si="168"/>
        <v/>
      </c>
      <c r="P445" s="1125" t="str">
        <f t="shared" si="169"/>
        <v/>
      </c>
      <c r="Q445" s="472"/>
      <c r="R445" s="923" t="str">
        <f t="shared" si="184"/>
        <v/>
      </c>
      <c r="S445" s="923" t="str">
        <f t="shared" si="170"/>
        <v/>
      </c>
      <c r="T445" s="925" t="str">
        <f t="shared" si="171"/>
        <v/>
      </c>
      <c r="U445" s="545"/>
      <c r="V445" s="1103"/>
      <c r="W445" s="1103"/>
      <c r="X445" s="1060"/>
      <c r="Y445" s="1095" t="e">
        <f t="shared" si="172"/>
        <v>#VALUE!</v>
      </c>
      <c r="Z445" s="1094">
        <f>tab!$B$50</f>
        <v>0.6</v>
      </c>
      <c r="AA445" s="1126" t="e">
        <f t="shared" si="173"/>
        <v>#VALUE!</v>
      </c>
      <c r="AB445" s="1126" t="e">
        <f t="shared" si="174"/>
        <v>#VALUE!</v>
      </c>
      <c r="AC445" s="1126" t="e">
        <f t="shared" si="175"/>
        <v>#VALUE!</v>
      </c>
      <c r="AD445" s="1128" t="e">
        <f t="shared" si="176"/>
        <v>#VALUE!</v>
      </c>
      <c r="AE445" s="1128">
        <f t="shared" si="177"/>
        <v>0</v>
      </c>
      <c r="AF445" s="1096">
        <f>IF(H445&gt;8,tab!$B$51,tab!$B$54)</f>
        <v>0.5</v>
      </c>
      <c r="AG445" s="1097">
        <f t="shared" si="178"/>
        <v>0</v>
      </c>
      <c r="AH445" s="1093">
        <f t="shared" si="179"/>
        <v>0</v>
      </c>
      <c r="AI445" s="1120" t="e">
        <f>DATE(YEAR(tab!$G$3),MONTH(G445),DAY(G445))&gt;tab!$G$3</f>
        <v>#VALUE!</v>
      </c>
      <c r="AJ445" s="1097" t="e">
        <f t="shared" si="183"/>
        <v>#VALUE!</v>
      </c>
      <c r="AK445" s="1041">
        <f t="shared" si="180"/>
        <v>30</v>
      </c>
      <c r="AL445" s="1041">
        <f t="shared" si="181"/>
        <v>30</v>
      </c>
      <c r="AM445" s="1047">
        <f t="shared" si="182"/>
        <v>0</v>
      </c>
    </row>
    <row r="446" spans="2:39" x14ac:dyDescent="0.3">
      <c r="C446" s="122"/>
      <c r="D446" s="388" t="str">
        <f>IF(op!D379=0,"",op!D379)</f>
        <v/>
      </c>
      <c r="E446" s="388" t="str">
        <f>IF(op!E379=0,"-",op!E379)</f>
        <v/>
      </c>
      <c r="F446" s="684" t="str">
        <f>IF(op!F379="","",op!F379+1)</f>
        <v/>
      </c>
      <c r="G446" s="710" t="str">
        <f>IF(op!G379="","",op!G379)</f>
        <v/>
      </c>
      <c r="H446" s="684" t="str">
        <f>IF(op!H379=0,"",op!H379)</f>
        <v/>
      </c>
      <c r="I446" s="389" t="str">
        <f>IF(J446="","",(IF(op!I379+1&gt;LOOKUP(H446,schaal2019,regels2019),op!I379,op!I379+1)))</f>
        <v/>
      </c>
      <c r="J446" s="711" t="str">
        <f>IF(op!J379="","",op!J379)</f>
        <v/>
      </c>
      <c r="K446" s="472"/>
      <c r="L446" s="1049">
        <f>IF(op!L379="","",op!L379)</f>
        <v>0</v>
      </c>
      <c r="M446" s="1049">
        <f>IF(op!M379="","",op!M379)</f>
        <v>0</v>
      </c>
      <c r="N446" s="1051" t="str">
        <f t="shared" si="167"/>
        <v/>
      </c>
      <c r="O446" s="1051" t="str">
        <f t="shared" si="168"/>
        <v/>
      </c>
      <c r="P446" s="1125" t="str">
        <f t="shared" si="169"/>
        <v/>
      </c>
      <c r="Q446" s="472"/>
      <c r="R446" s="923" t="str">
        <f t="shared" si="184"/>
        <v/>
      </c>
      <c r="S446" s="923" t="str">
        <f t="shared" si="170"/>
        <v/>
      </c>
      <c r="T446" s="925" t="str">
        <f t="shared" si="171"/>
        <v/>
      </c>
      <c r="U446" s="545"/>
      <c r="V446" s="1103"/>
      <c r="W446" s="1103"/>
      <c r="X446" s="1060"/>
      <c r="Y446" s="1095" t="e">
        <f t="shared" si="172"/>
        <v>#VALUE!</v>
      </c>
      <c r="Z446" s="1094">
        <f>tab!$B$50</f>
        <v>0.6</v>
      </c>
      <c r="AA446" s="1126" t="e">
        <f t="shared" si="173"/>
        <v>#VALUE!</v>
      </c>
      <c r="AB446" s="1126" t="e">
        <f t="shared" si="174"/>
        <v>#VALUE!</v>
      </c>
      <c r="AC446" s="1126" t="e">
        <f t="shared" si="175"/>
        <v>#VALUE!</v>
      </c>
      <c r="AD446" s="1128" t="e">
        <f t="shared" si="176"/>
        <v>#VALUE!</v>
      </c>
      <c r="AE446" s="1128">
        <f t="shared" si="177"/>
        <v>0</v>
      </c>
      <c r="AF446" s="1096">
        <f>IF(H446&gt;8,tab!$B$51,tab!$B$54)</f>
        <v>0.5</v>
      </c>
      <c r="AG446" s="1097">
        <f t="shared" si="178"/>
        <v>0</v>
      </c>
      <c r="AH446" s="1093">
        <f t="shared" si="179"/>
        <v>0</v>
      </c>
      <c r="AI446" s="1120" t="e">
        <f>DATE(YEAR(tab!$G$3),MONTH(G446),DAY(G446))&gt;tab!$G$3</f>
        <v>#VALUE!</v>
      </c>
      <c r="AJ446" s="1097" t="e">
        <f t="shared" si="183"/>
        <v>#VALUE!</v>
      </c>
      <c r="AK446" s="1041">
        <f t="shared" si="180"/>
        <v>30</v>
      </c>
      <c r="AL446" s="1041">
        <f t="shared" si="181"/>
        <v>30</v>
      </c>
      <c r="AM446" s="1047">
        <f t="shared" si="182"/>
        <v>0</v>
      </c>
    </row>
    <row r="447" spans="2:39" x14ac:dyDescent="0.3">
      <c r="C447" s="122"/>
      <c r="D447" s="388" t="str">
        <f>IF(op!D380=0,"",op!D380)</f>
        <v/>
      </c>
      <c r="E447" s="388" t="str">
        <f>IF(op!E380=0,"-",op!E380)</f>
        <v/>
      </c>
      <c r="F447" s="684" t="str">
        <f>IF(op!F380="","",op!F380+1)</f>
        <v/>
      </c>
      <c r="G447" s="710" t="str">
        <f>IF(op!G380="","",op!G380)</f>
        <v/>
      </c>
      <c r="H447" s="684" t="str">
        <f>IF(op!H380=0,"",op!H380)</f>
        <v/>
      </c>
      <c r="I447" s="389" t="str">
        <f>IF(J447="","",(IF(op!I380+1&gt;LOOKUP(H447,schaal2019,regels2019),op!I380,op!I380+1)))</f>
        <v/>
      </c>
      <c r="J447" s="711" t="str">
        <f>IF(op!J380="","",op!J380)</f>
        <v/>
      </c>
      <c r="K447" s="472"/>
      <c r="L447" s="1049">
        <f>IF(op!L380="","",op!L380)</f>
        <v>0</v>
      </c>
      <c r="M447" s="1049">
        <f>IF(op!M380="","",op!M380)</f>
        <v>0</v>
      </c>
      <c r="N447" s="1051" t="str">
        <f t="shared" si="167"/>
        <v/>
      </c>
      <c r="O447" s="1051" t="str">
        <f t="shared" si="168"/>
        <v/>
      </c>
      <c r="P447" s="1125" t="str">
        <f t="shared" si="169"/>
        <v/>
      </c>
      <c r="Q447" s="472"/>
      <c r="R447" s="923" t="str">
        <f t="shared" si="184"/>
        <v/>
      </c>
      <c r="S447" s="923" t="str">
        <f t="shared" si="170"/>
        <v/>
      </c>
      <c r="T447" s="925" t="str">
        <f t="shared" si="171"/>
        <v/>
      </c>
      <c r="U447" s="545"/>
      <c r="V447" s="1103"/>
      <c r="W447" s="1103"/>
      <c r="X447" s="1060"/>
      <c r="Y447" s="1095" t="e">
        <f t="shared" si="172"/>
        <v>#VALUE!</v>
      </c>
      <c r="Z447" s="1094">
        <f>tab!$B$50</f>
        <v>0.6</v>
      </c>
      <c r="AA447" s="1126" t="e">
        <f t="shared" si="173"/>
        <v>#VALUE!</v>
      </c>
      <c r="AB447" s="1126" t="e">
        <f t="shared" si="174"/>
        <v>#VALUE!</v>
      </c>
      <c r="AC447" s="1126" t="e">
        <f t="shared" si="175"/>
        <v>#VALUE!</v>
      </c>
      <c r="AD447" s="1128" t="e">
        <f t="shared" si="176"/>
        <v>#VALUE!</v>
      </c>
      <c r="AE447" s="1128">
        <f t="shared" si="177"/>
        <v>0</v>
      </c>
      <c r="AF447" s="1096">
        <f>IF(H447&gt;8,tab!$B$51,tab!$B$54)</f>
        <v>0.5</v>
      </c>
      <c r="AG447" s="1097">
        <f t="shared" si="178"/>
        <v>0</v>
      </c>
      <c r="AH447" s="1093">
        <f t="shared" si="179"/>
        <v>0</v>
      </c>
      <c r="AI447" s="1120" t="e">
        <f>DATE(YEAR(tab!$G$3),MONTH(G447),DAY(G447))&gt;tab!$G$3</f>
        <v>#VALUE!</v>
      </c>
      <c r="AJ447" s="1097" t="e">
        <f t="shared" si="183"/>
        <v>#VALUE!</v>
      </c>
      <c r="AK447" s="1041">
        <f t="shared" si="180"/>
        <v>30</v>
      </c>
      <c r="AL447" s="1041">
        <f t="shared" si="181"/>
        <v>30</v>
      </c>
      <c r="AM447" s="1047">
        <f t="shared" si="182"/>
        <v>0</v>
      </c>
    </row>
    <row r="448" spans="2:39" x14ac:dyDescent="0.3">
      <c r="C448" s="122"/>
      <c r="D448" s="388" t="str">
        <f>IF(op!D381=0,"",op!D381)</f>
        <v/>
      </c>
      <c r="E448" s="388" t="str">
        <f>IF(op!E381=0,"-",op!E381)</f>
        <v/>
      </c>
      <c r="F448" s="684" t="str">
        <f>IF(op!F381="","",op!F381+1)</f>
        <v/>
      </c>
      <c r="G448" s="710" t="str">
        <f>IF(op!G381="","",op!G381)</f>
        <v/>
      </c>
      <c r="H448" s="684" t="str">
        <f>IF(op!H381=0,"",op!H381)</f>
        <v/>
      </c>
      <c r="I448" s="389" t="str">
        <f>IF(J448="","",(IF(op!I381+1&gt;LOOKUP(H448,schaal2019,regels2019),op!I381,op!I381+1)))</f>
        <v/>
      </c>
      <c r="J448" s="711" t="str">
        <f>IF(op!J381="","",op!J381)</f>
        <v/>
      </c>
      <c r="K448" s="472"/>
      <c r="L448" s="1049">
        <f>IF(op!L381="","",op!L381)</f>
        <v>0</v>
      </c>
      <c r="M448" s="1049">
        <f>IF(op!M381="","",op!M381)</f>
        <v>0</v>
      </c>
      <c r="N448" s="1051" t="str">
        <f t="shared" si="167"/>
        <v/>
      </c>
      <c r="O448" s="1051" t="str">
        <f t="shared" si="168"/>
        <v/>
      </c>
      <c r="P448" s="1125" t="str">
        <f t="shared" si="169"/>
        <v/>
      </c>
      <c r="Q448" s="472"/>
      <c r="R448" s="923" t="str">
        <f t="shared" si="184"/>
        <v/>
      </c>
      <c r="S448" s="923" t="str">
        <f t="shared" si="170"/>
        <v/>
      </c>
      <c r="T448" s="925" t="str">
        <f t="shared" si="171"/>
        <v/>
      </c>
      <c r="U448" s="545"/>
      <c r="V448" s="1103"/>
      <c r="W448" s="1103"/>
      <c r="X448" s="1060"/>
      <c r="Y448" s="1095" t="e">
        <f t="shared" si="172"/>
        <v>#VALUE!</v>
      </c>
      <c r="Z448" s="1094">
        <f>tab!$B$50</f>
        <v>0.6</v>
      </c>
      <c r="AA448" s="1126" t="e">
        <f t="shared" si="173"/>
        <v>#VALUE!</v>
      </c>
      <c r="AB448" s="1126" t="e">
        <f t="shared" si="174"/>
        <v>#VALUE!</v>
      </c>
      <c r="AC448" s="1126" t="e">
        <f t="shared" si="175"/>
        <v>#VALUE!</v>
      </c>
      <c r="AD448" s="1128" t="e">
        <f t="shared" si="176"/>
        <v>#VALUE!</v>
      </c>
      <c r="AE448" s="1128">
        <f t="shared" si="177"/>
        <v>0</v>
      </c>
      <c r="AF448" s="1096">
        <f>IF(H448&gt;8,tab!$B$51,tab!$B$54)</f>
        <v>0.5</v>
      </c>
      <c r="AG448" s="1097">
        <f t="shared" si="178"/>
        <v>0</v>
      </c>
      <c r="AH448" s="1093">
        <f t="shared" si="179"/>
        <v>0</v>
      </c>
      <c r="AI448" s="1120" t="e">
        <f>DATE(YEAR(tab!$G$3),MONTH(G448),DAY(G448))&gt;tab!$G$3</f>
        <v>#VALUE!</v>
      </c>
      <c r="AJ448" s="1097" t="e">
        <f t="shared" si="183"/>
        <v>#VALUE!</v>
      </c>
      <c r="AK448" s="1041">
        <f t="shared" si="180"/>
        <v>30</v>
      </c>
      <c r="AL448" s="1041">
        <f t="shared" si="181"/>
        <v>30</v>
      </c>
      <c r="AM448" s="1047">
        <f t="shared" si="182"/>
        <v>0</v>
      </c>
    </row>
    <row r="449" spans="3:39" x14ac:dyDescent="0.3">
      <c r="C449" s="122"/>
      <c r="D449" s="388" t="str">
        <f>IF(op!D382=0,"",op!D382)</f>
        <v/>
      </c>
      <c r="E449" s="388" t="str">
        <f>IF(op!E382=0,"-",op!E382)</f>
        <v/>
      </c>
      <c r="F449" s="684" t="str">
        <f>IF(op!F382="","",op!F382+1)</f>
        <v/>
      </c>
      <c r="G449" s="710" t="str">
        <f>IF(op!G382="","",op!G382)</f>
        <v/>
      </c>
      <c r="H449" s="684" t="str">
        <f>IF(op!H382=0,"",op!H382)</f>
        <v/>
      </c>
      <c r="I449" s="389" t="str">
        <f>IF(J449="","",(IF(op!I382+1&gt;LOOKUP(H449,schaal2019,regels2019),op!I382,op!I382+1)))</f>
        <v/>
      </c>
      <c r="J449" s="711" t="str">
        <f>IF(op!J382="","",op!J382)</f>
        <v/>
      </c>
      <c r="K449" s="472"/>
      <c r="L449" s="1049">
        <f>IF(op!L382="","",op!L382)</f>
        <v>0</v>
      </c>
      <c r="M449" s="1049">
        <f>IF(op!M382="","",op!M382)</f>
        <v>0</v>
      </c>
      <c r="N449" s="1051" t="str">
        <f t="shared" si="167"/>
        <v/>
      </c>
      <c r="O449" s="1051" t="str">
        <f t="shared" si="168"/>
        <v/>
      </c>
      <c r="P449" s="1125" t="str">
        <f t="shared" si="169"/>
        <v/>
      </c>
      <c r="Q449" s="472"/>
      <c r="R449" s="923" t="str">
        <f t="shared" si="184"/>
        <v/>
      </c>
      <c r="S449" s="923" t="str">
        <f t="shared" si="170"/>
        <v/>
      </c>
      <c r="T449" s="925" t="str">
        <f t="shared" si="171"/>
        <v/>
      </c>
      <c r="U449" s="545"/>
      <c r="V449" s="1103"/>
      <c r="W449" s="1103"/>
      <c r="X449" s="1060"/>
      <c r="Y449" s="1095" t="e">
        <f t="shared" si="172"/>
        <v>#VALUE!</v>
      </c>
      <c r="Z449" s="1094">
        <f>tab!$B$50</f>
        <v>0.6</v>
      </c>
      <c r="AA449" s="1126" t="e">
        <f t="shared" si="173"/>
        <v>#VALUE!</v>
      </c>
      <c r="AB449" s="1126" t="e">
        <f t="shared" si="174"/>
        <v>#VALUE!</v>
      </c>
      <c r="AC449" s="1126" t="e">
        <f t="shared" si="175"/>
        <v>#VALUE!</v>
      </c>
      <c r="AD449" s="1128" t="e">
        <f t="shared" si="176"/>
        <v>#VALUE!</v>
      </c>
      <c r="AE449" s="1128">
        <f t="shared" si="177"/>
        <v>0</v>
      </c>
      <c r="AF449" s="1096">
        <f>IF(H449&gt;8,tab!$B$51,tab!$B$54)</f>
        <v>0.5</v>
      </c>
      <c r="AG449" s="1097">
        <f t="shared" si="178"/>
        <v>0</v>
      </c>
      <c r="AH449" s="1093">
        <f t="shared" si="179"/>
        <v>0</v>
      </c>
      <c r="AI449" s="1120" t="e">
        <f>DATE(YEAR(tab!$G$3),MONTH(G449),DAY(G449))&gt;tab!$G$3</f>
        <v>#VALUE!</v>
      </c>
      <c r="AJ449" s="1097" t="e">
        <f t="shared" si="183"/>
        <v>#VALUE!</v>
      </c>
      <c r="AK449" s="1041">
        <f t="shared" si="180"/>
        <v>30</v>
      </c>
      <c r="AL449" s="1041">
        <f t="shared" si="181"/>
        <v>30</v>
      </c>
      <c r="AM449" s="1047">
        <f t="shared" si="182"/>
        <v>0</v>
      </c>
    </row>
    <row r="450" spans="3:39" x14ac:dyDescent="0.3">
      <c r="C450" s="122"/>
      <c r="D450" s="388" t="str">
        <f>IF(op!D383=0,"",op!D383)</f>
        <v/>
      </c>
      <c r="E450" s="388" t="str">
        <f>IF(op!E383=0,"-",op!E383)</f>
        <v/>
      </c>
      <c r="F450" s="684" t="str">
        <f>IF(op!F383="","",op!F383+1)</f>
        <v/>
      </c>
      <c r="G450" s="710" t="str">
        <f>IF(op!G383="","",op!G383)</f>
        <v/>
      </c>
      <c r="H450" s="684" t="str">
        <f>IF(op!H383=0,"",op!H383)</f>
        <v/>
      </c>
      <c r="I450" s="389" t="str">
        <f>IF(J450="","",(IF(op!I383+1&gt;LOOKUP(H450,schaal2019,regels2019),op!I383,op!I383+1)))</f>
        <v/>
      </c>
      <c r="J450" s="711" t="str">
        <f>IF(op!J383="","",op!J383)</f>
        <v/>
      </c>
      <c r="K450" s="472"/>
      <c r="L450" s="1049">
        <f>IF(op!L383="","",op!L383)</f>
        <v>0</v>
      </c>
      <c r="M450" s="1049">
        <f>IF(op!M383="","",op!M383)</f>
        <v>0</v>
      </c>
      <c r="N450" s="1051" t="str">
        <f t="shared" si="167"/>
        <v/>
      </c>
      <c r="O450" s="1051" t="str">
        <f t="shared" si="168"/>
        <v/>
      </c>
      <c r="P450" s="1125" t="str">
        <f t="shared" si="169"/>
        <v/>
      </c>
      <c r="Q450" s="472"/>
      <c r="R450" s="923" t="str">
        <f t="shared" si="184"/>
        <v/>
      </c>
      <c r="S450" s="923" t="str">
        <f t="shared" si="170"/>
        <v/>
      </c>
      <c r="T450" s="925" t="str">
        <f t="shared" si="171"/>
        <v/>
      </c>
      <c r="U450" s="545"/>
      <c r="V450" s="1103"/>
      <c r="W450" s="1103"/>
      <c r="X450" s="1060"/>
      <c r="Y450" s="1095" t="e">
        <f t="shared" si="172"/>
        <v>#VALUE!</v>
      </c>
      <c r="Z450" s="1094">
        <f>tab!$B$50</f>
        <v>0.6</v>
      </c>
      <c r="AA450" s="1126" t="e">
        <f t="shared" si="173"/>
        <v>#VALUE!</v>
      </c>
      <c r="AB450" s="1126" t="e">
        <f t="shared" si="174"/>
        <v>#VALUE!</v>
      </c>
      <c r="AC450" s="1126" t="e">
        <f t="shared" si="175"/>
        <v>#VALUE!</v>
      </c>
      <c r="AD450" s="1128" t="e">
        <f t="shared" si="176"/>
        <v>#VALUE!</v>
      </c>
      <c r="AE450" s="1128">
        <f t="shared" si="177"/>
        <v>0</v>
      </c>
      <c r="AF450" s="1096">
        <f>IF(H450&gt;8,tab!$B$51,tab!$B$54)</f>
        <v>0.5</v>
      </c>
      <c r="AG450" s="1097">
        <f t="shared" si="178"/>
        <v>0</v>
      </c>
      <c r="AH450" s="1093">
        <f t="shared" si="179"/>
        <v>0</v>
      </c>
      <c r="AI450" s="1120" t="e">
        <f>DATE(YEAR(tab!$G$3),MONTH(G450),DAY(G450))&gt;tab!$G$3</f>
        <v>#VALUE!</v>
      </c>
      <c r="AJ450" s="1097" t="e">
        <f t="shared" si="183"/>
        <v>#VALUE!</v>
      </c>
      <c r="AK450" s="1041">
        <f t="shared" si="180"/>
        <v>30</v>
      </c>
      <c r="AL450" s="1041">
        <f t="shared" si="181"/>
        <v>30</v>
      </c>
      <c r="AM450" s="1047">
        <f t="shared" si="182"/>
        <v>0</v>
      </c>
    </row>
    <row r="451" spans="3:39" x14ac:dyDescent="0.3">
      <c r="C451" s="122"/>
      <c r="D451" s="388" t="str">
        <f>IF(op!D384=0,"",op!D384)</f>
        <v/>
      </c>
      <c r="E451" s="388" t="str">
        <f>IF(op!E384=0,"-",op!E384)</f>
        <v/>
      </c>
      <c r="F451" s="684" t="str">
        <f>IF(op!F384="","",op!F384+1)</f>
        <v/>
      </c>
      <c r="G451" s="710" t="str">
        <f>IF(op!G384="","",op!G384)</f>
        <v/>
      </c>
      <c r="H451" s="684" t="str">
        <f>IF(op!H384=0,"",op!H384)</f>
        <v/>
      </c>
      <c r="I451" s="389" t="str">
        <f>IF(J451="","",(IF(op!I384+1&gt;LOOKUP(H451,schaal2019,regels2019),op!I384,op!I384+1)))</f>
        <v/>
      </c>
      <c r="J451" s="711" t="str">
        <f>IF(op!J384="","",op!J384)</f>
        <v/>
      </c>
      <c r="K451" s="472"/>
      <c r="L451" s="1049">
        <f>IF(op!L384="","",op!L384)</f>
        <v>0</v>
      </c>
      <c r="M451" s="1049">
        <f>IF(op!M384="","",op!M384)</f>
        <v>0</v>
      </c>
      <c r="N451" s="1051" t="str">
        <f t="shared" si="167"/>
        <v/>
      </c>
      <c r="O451" s="1051" t="str">
        <f t="shared" si="168"/>
        <v/>
      </c>
      <c r="P451" s="1125" t="str">
        <f t="shared" si="169"/>
        <v/>
      </c>
      <c r="Q451" s="472"/>
      <c r="R451" s="923" t="str">
        <f t="shared" si="184"/>
        <v/>
      </c>
      <c r="S451" s="923" t="str">
        <f t="shared" si="170"/>
        <v/>
      </c>
      <c r="T451" s="925" t="str">
        <f t="shared" si="171"/>
        <v/>
      </c>
      <c r="U451" s="545"/>
      <c r="V451" s="1103"/>
      <c r="W451" s="1103"/>
      <c r="X451" s="1060"/>
      <c r="Y451" s="1095" t="e">
        <f t="shared" si="172"/>
        <v>#VALUE!</v>
      </c>
      <c r="Z451" s="1094">
        <f>tab!$B$50</f>
        <v>0.6</v>
      </c>
      <c r="AA451" s="1126" t="e">
        <f t="shared" si="173"/>
        <v>#VALUE!</v>
      </c>
      <c r="AB451" s="1126" t="e">
        <f t="shared" si="174"/>
        <v>#VALUE!</v>
      </c>
      <c r="AC451" s="1126" t="e">
        <f t="shared" si="175"/>
        <v>#VALUE!</v>
      </c>
      <c r="AD451" s="1128" t="e">
        <f t="shared" si="176"/>
        <v>#VALUE!</v>
      </c>
      <c r="AE451" s="1128">
        <f t="shared" si="177"/>
        <v>0</v>
      </c>
      <c r="AF451" s="1096">
        <f>IF(H451&gt;8,tab!$B$51,tab!$B$54)</f>
        <v>0.5</v>
      </c>
      <c r="AG451" s="1097">
        <f t="shared" si="178"/>
        <v>0</v>
      </c>
      <c r="AH451" s="1093">
        <f t="shared" si="179"/>
        <v>0</v>
      </c>
      <c r="AI451" s="1120" t="e">
        <f>DATE(YEAR(tab!$G$3),MONTH(G451),DAY(G451))&gt;tab!$G$3</f>
        <v>#VALUE!</v>
      </c>
      <c r="AJ451" s="1097" t="e">
        <f t="shared" si="183"/>
        <v>#VALUE!</v>
      </c>
      <c r="AK451" s="1041">
        <f t="shared" si="180"/>
        <v>30</v>
      </c>
      <c r="AL451" s="1041">
        <f t="shared" si="181"/>
        <v>30</v>
      </c>
      <c r="AM451" s="1047">
        <f t="shared" si="182"/>
        <v>0</v>
      </c>
    </row>
    <row r="452" spans="3:39" x14ac:dyDescent="0.3">
      <c r="C452" s="122"/>
      <c r="D452" s="388" t="str">
        <f>IF(op!D385=0,"",op!D385)</f>
        <v/>
      </c>
      <c r="E452" s="388" t="str">
        <f>IF(op!E385=0,"-",op!E385)</f>
        <v/>
      </c>
      <c r="F452" s="684" t="str">
        <f>IF(op!F385="","",op!F385+1)</f>
        <v/>
      </c>
      <c r="G452" s="710" t="str">
        <f>IF(op!G385="","",op!G385)</f>
        <v/>
      </c>
      <c r="H452" s="684" t="str">
        <f>IF(op!H385=0,"",op!H385)</f>
        <v/>
      </c>
      <c r="I452" s="389" t="str">
        <f>IF(J452="","",(IF(op!I385+1&gt;LOOKUP(H452,schaal2019,regels2019),op!I385,op!I385+1)))</f>
        <v/>
      </c>
      <c r="J452" s="711" t="str">
        <f>IF(op!J385="","",op!J385)</f>
        <v/>
      </c>
      <c r="K452" s="472"/>
      <c r="L452" s="1049">
        <f>IF(op!L385="","",op!L385)</f>
        <v>0</v>
      </c>
      <c r="M452" s="1049">
        <f>IF(op!M385="","",op!M385)</f>
        <v>0</v>
      </c>
      <c r="N452" s="1051" t="str">
        <f t="shared" si="167"/>
        <v/>
      </c>
      <c r="O452" s="1051" t="str">
        <f t="shared" si="168"/>
        <v/>
      </c>
      <c r="P452" s="1125" t="str">
        <f t="shared" si="169"/>
        <v/>
      </c>
      <c r="Q452" s="472"/>
      <c r="R452" s="923" t="str">
        <f t="shared" si="184"/>
        <v/>
      </c>
      <c r="S452" s="923" t="str">
        <f t="shared" si="170"/>
        <v/>
      </c>
      <c r="T452" s="925" t="str">
        <f t="shared" si="171"/>
        <v/>
      </c>
      <c r="U452" s="545"/>
      <c r="V452" s="1103"/>
      <c r="W452" s="1103"/>
      <c r="X452" s="1060"/>
      <c r="Y452" s="1095" t="e">
        <f t="shared" si="172"/>
        <v>#VALUE!</v>
      </c>
      <c r="Z452" s="1094">
        <f>tab!$B$50</f>
        <v>0.6</v>
      </c>
      <c r="AA452" s="1126" t="e">
        <f t="shared" si="173"/>
        <v>#VALUE!</v>
      </c>
      <c r="AB452" s="1126" t="e">
        <f t="shared" si="174"/>
        <v>#VALUE!</v>
      </c>
      <c r="AC452" s="1126" t="e">
        <f t="shared" si="175"/>
        <v>#VALUE!</v>
      </c>
      <c r="AD452" s="1128" t="e">
        <f t="shared" si="176"/>
        <v>#VALUE!</v>
      </c>
      <c r="AE452" s="1128">
        <f t="shared" si="177"/>
        <v>0</v>
      </c>
      <c r="AF452" s="1096">
        <f>IF(H452&gt;8,tab!$B$51,tab!$B$54)</f>
        <v>0.5</v>
      </c>
      <c r="AG452" s="1097">
        <f t="shared" si="178"/>
        <v>0</v>
      </c>
      <c r="AH452" s="1093">
        <f t="shared" si="179"/>
        <v>0</v>
      </c>
      <c r="AI452" s="1120" t="e">
        <f>DATE(YEAR(tab!$G$3),MONTH(G452),DAY(G452))&gt;tab!$G$3</f>
        <v>#VALUE!</v>
      </c>
      <c r="AJ452" s="1097" t="e">
        <f t="shared" si="183"/>
        <v>#VALUE!</v>
      </c>
      <c r="AK452" s="1041">
        <f t="shared" si="180"/>
        <v>30</v>
      </c>
      <c r="AL452" s="1041">
        <f t="shared" si="181"/>
        <v>30</v>
      </c>
      <c r="AM452" s="1047">
        <f t="shared" si="182"/>
        <v>0</v>
      </c>
    </row>
    <row r="453" spans="3:39" x14ac:dyDescent="0.3">
      <c r="C453" s="122"/>
      <c r="D453" s="388" t="str">
        <f>IF(op!D386=0,"",op!D386)</f>
        <v/>
      </c>
      <c r="E453" s="388" t="str">
        <f>IF(op!E386=0,"-",op!E386)</f>
        <v/>
      </c>
      <c r="F453" s="684" t="str">
        <f>IF(op!F386="","",op!F386+1)</f>
        <v/>
      </c>
      <c r="G453" s="710" t="str">
        <f>IF(op!G386="","",op!G386)</f>
        <v/>
      </c>
      <c r="H453" s="684" t="str">
        <f>IF(op!H386=0,"",op!H386)</f>
        <v/>
      </c>
      <c r="I453" s="389" t="str">
        <f>IF(J453="","",(IF(op!I386+1&gt;LOOKUP(H453,schaal2019,regels2019),op!I386,op!I386+1)))</f>
        <v/>
      </c>
      <c r="J453" s="711" t="str">
        <f>IF(op!J386="","",op!J386)</f>
        <v/>
      </c>
      <c r="K453" s="472"/>
      <c r="L453" s="1049">
        <f>IF(op!L386="","",op!L386)</f>
        <v>0</v>
      </c>
      <c r="M453" s="1049">
        <f>IF(op!M386="","",op!M386)</f>
        <v>0</v>
      </c>
      <c r="N453" s="1051" t="str">
        <f t="shared" si="167"/>
        <v/>
      </c>
      <c r="O453" s="1051" t="str">
        <f t="shared" si="168"/>
        <v/>
      </c>
      <c r="P453" s="1125" t="str">
        <f t="shared" si="169"/>
        <v/>
      </c>
      <c r="Q453" s="472"/>
      <c r="R453" s="923" t="str">
        <f t="shared" si="184"/>
        <v/>
      </c>
      <c r="S453" s="923" t="str">
        <f t="shared" si="170"/>
        <v/>
      </c>
      <c r="T453" s="925" t="str">
        <f t="shared" si="171"/>
        <v/>
      </c>
      <c r="U453" s="545"/>
      <c r="V453" s="1103"/>
      <c r="W453" s="1103"/>
      <c r="X453" s="1060"/>
      <c r="Y453" s="1095" t="e">
        <f t="shared" si="172"/>
        <v>#VALUE!</v>
      </c>
      <c r="Z453" s="1094">
        <f>tab!$B$50</f>
        <v>0.6</v>
      </c>
      <c r="AA453" s="1126" t="e">
        <f t="shared" si="173"/>
        <v>#VALUE!</v>
      </c>
      <c r="AB453" s="1126" t="e">
        <f t="shared" si="174"/>
        <v>#VALUE!</v>
      </c>
      <c r="AC453" s="1126" t="e">
        <f t="shared" si="175"/>
        <v>#VALUE!</v>
      </c>
      <c r="AD453" s="1128" t="e">
        <f t="shared" si="176"/>
        <v>#VALUE!</v>
      </c>
      <c r="AE453" s="1128">
        <f t="shared" si="177"/>
        <v>0</v>
      </c>
      <c r="AF453" s="1096">
        <f>IF(H453&gt;8,tab!$B$51,tab!$B$54)</f>
        <v>0.5</v>
      </c>
      <c r="AG453" s="1097">
        <f t="shared" si="178"/>
        <v>0</v>
      </c>
      <c r="AH453" s="1093">
        <f t="shared" si="179"/>
        <v>0</v>
      </c>
      <c r="AI453" s="1120" t="e">
        <f>DATE(YEAR(tab!$G$3),MONTH(G453),DAY(G453))&gt;tab!$G$3</f>
        <v>#VALUE!</v>
      </c>
      <c r="AJ453" s="1097" t="e">
        <f t="shared" si="183"/>
        <v>#VALUE!</v>
      </c>
      <c r="AK453" s="1041">
        <f t="shared" si="180"/>
        <v>30</v>
      </c>
      <c r="AL453" s="1041">
        <f t="shared" si="181"/>
        <v>30</v>
      </c>
      <c r="AM453" s="1047">
        <f t="shared" si="182"/>
        <v>0</v>
      </c>
    </row>
    <row r="454" spans="3:39" x14ac:dyDescent="0.3">
      <c r="C454" s="122"/>
      <c r="D454" s="388" t="str">
        <f>IF(op!D387=0,"",op!D387)</f>
        <v/>
      </c>
      <c r="E454" s="388" t="str">
        <f>IF(op!E387=0,"-",op!E387)</f>
        <v/>
      </c>
      <c r="F454" s="684" t="str">
        <f>IF(op!F387="","",op!F387+1)</f>
        <v/>
      </c>
      <c r="G454" s="710" t="str">
        <f>IF(op!G387="","",op!G387)</f>
        <v/>
      </c>
      <c r="H454" s="684" t="str">
        <f>IF(op!H387=0,"",op!H387)</f>
        <v/>
      </c>
      <c r="I454" s="389" t="str">
        <f>IF(J454="","",(IF(op!I387+1&gt;LOOKUP(H454,schaal2019,regels2019),op!I387,op!I387+1)))</f>
        <v/>
      </c>
      <c r="J454" s="711" t="str">
        <f>IF(op!J387="","",op!J387)</f>
        <v/>
      </c>
      <c r="K454" s="472"/>
      <c r="L454" s="1049">
        <f>IF(op!L387="","",op!L387)</f>
        <v>0</v>
      </c>
      <c r="M454" s="1049">
        <f>IF(op!M387="","",op!M387)</f>
        <v>0</v>
      </c>
      <c r="N454" s="1051" t="str">
        <f t="shared" si="167"/>
        <v/>
      </c>
      <c r="O454" s="1051" t="str">
        <f t="shared" si="168"/>
        <v/>
      </c>
      <c r="P454" s="1125" t="str">
        <f t="shared" si="169"/>
        <v/>
      </c>
      <c r="Q454" s="472"/>
      <c r="R454" s="923" t="str">
        <f t="shared" si="184"/>
        <v/>
      </c>
      <c r="S454" s="923" t="str">
        <f t="shared" si="170"/>
        <v/>
      </c>
      <c r="T454" s="925" t="str">
        <f t="shared" si="171"/>
        <v/>
      </c>
      <c r="U454" s="545"/>
      <c r="V454" s="1103"/>
      <c r="W454" s="1103"/>
      <c r="X454" s="1060"/>
      <c r="Y454" s="1095" t="e">
        <f t="shared" si="172"/>
        <v>#VALUE!</v>
      </c>
      <c r="Z454" s="1094">
        <f>tab!$B$50</f>
        <v>0.6</v>
      </c>
      <c r="AA454" s="1126" t="e">
        <f t="shared" si="173"/>
        <v>#VALUE!</v>
      </c>
      <c r="AB454" s="1126" t="e">
        <f t="shared" si="174"/>
        <v>#VALUE!</v>
      </c>
      <c r="AC454" s="1126" t="e">
        <f t="shared" si="175"/>
        <v>#VALUE!</v>
      </c>
      <c r="AD454" s="1128" t="e">
        <f t="shared" si="176"/>
        <v>#VALUE!</v>
      </c>
      <c r="AE454" s="1128">
        <f t="shared" si="177"/>
        <v>0</v>
      </c>
      <c r="AF454" s="1096">
        <f>IF(H454&gt;8,tab!$B$51,tab!$B$54)</f>
        <v>0.5</v>
      </c>
      <c r="AG454" s="1097">
        <f t="shared" si="178"/>
        <v>0</v>
      </c>
      <c r="AH454" s="1093">
        <f t="shared" si="179"/>
        <v>0</v>
      </c>
      <c r="AI454" s="1120" t="e">
        <f>DATE(YEAR(tab!$G$3),MONTH(G454),DAY(G454))&gt;tab!$G$3</f>
        <v>#VALUE!</v>
      </c>
      <c r="AJ454" s="1097" t="e">
        <f t="shared" si="183"/>
        <v>#VALUE!</v>
      </c>
      <c r="AK454" s="1041">
        <f t="shared" si="180"/>
        <v>30</v>
      </c>
      <c r="AL454" s="1041">
        <f t="shared" si="181"/>
        <v>30</v>
      </c>
      <c r="AM454" s="1047">
        <f t="shared" si="182"/>
        <v>0</v>
      </c>
    </row>
    <row r="455" spans="3:39" x14ac:dyDescent="0.3">
      <c r="C455" s="122"/>
      <c r="D455" s="388" t="str">
        <f>IF(op!D388=0,"",op!D388)</f>
        <v/>
      </c>
      <c r="E455" s="388" t="str">
        <f>IF(op!E388=0,"-",op!E388)</f>
        <v/>
      </c>
      <c r="F455" s="684" t="str">
        <f>IF(op!F388="","",op!F388+1)</f>
        <v/>
      </c>
      <c r="G455" s="710" t="str">
        <f>IF(op!G388="","",op!G388)</f>
        <v/>
      </c>
      <c r="H455" s="684" t="str">
        <f>IF(op!H388=0,"",op!H388)</f>
        <v/>
      </c>
      <c r="I455" s="389" t="str">
        <f>IF(J455="","",(IF(op!I388+1&gt;LOOKUP(H455,schaal2019,regels2019),op!I388,op!I388+1)))</f>
        <v/>
      </c>
      <c r="J455" s="711" t="str">
        <f>IF(op!J388="","",op!J388)</f>
        <v/>
      </c>
      <c r="K455" s="472"/>
      <c r="L455" s="1049">
        <f>IF(op!L388="","",op!L388)</f>
        <v>0</v>
      </c>
      <c r="M455" s="1049">
        <f>IF(op!M388="","",op!M388)</f>
        <v>0</v>
      </c>
      <c r="N455" s="1051" t="str">
        <f t="shared" si="167"/>
        <v/>
      </c>
      <c r="O455" s="1051" t="str">
        <f t="shared" si="168"/>
        <v/>
      </c>
      <c r="P455" s="1125" t="str">
        <f t="shared" si="169"/>
        <v/>
      </c>
      <c r="Q455" s="472"/>
      <c r="R455" s="923" t="str">
        <f t="shared" si="184"/>
        <v/>
      </c>
      <c r="S455" s="923" t="str">
        <f t="shared" si="170"/>
        <v/>
      </c>
      <c r="T455" s="925" t="str">
        <f t="shared" si="171"/>
        <v/>
      </c>
      <c r="U455" s="545"/>
      <c r="V455" s="1103"/>
      <c r="W455" s="1103"/>
      <c r="X455" s="1060"/>
      <c r="Y455" s="1095" t="e">
        <f t="shared" si="172"/>
        <v>#VALUE!</v>
      </c>
      <c r="Z455" s="1094">
        <f>tab!$B$50</f>
        <v>0.6</v>
      </c>
      <c r="AA455" s="1126" t="e">
        <f t="shared" si="173"/>
        <v>#VALUE!</v>
      </c>
      <c r="AB455" s="1126" t="e">
        <f t="shared" si="174"/>
        <v>#VALUE!</v>
      </c>
      <c r="AC455" s="1126" t="e">
        <f t="shared" si="175"/>
        <v>#VALUE!</v>
      </c>
      <c r="AD455" s="1128" t="e">
        <f t="shared" si="176"/>
        <v>#VALUE!</v>
      </c>
      <c r="AE455" s="1128">
        <f t="shared" si="177"/>
        <v>0</v>
      </c>
      <c r="AF455" s="1096">
        <f>IF(H455&gt;8,tab!$B$51,tab!$B$54)</f>
        <v>0.5</v>
      </c>
      <c r="AG455" s="1097">
        <f t="shared" si="178"/>
        <v>0</v>
      </c>
      <c r="AH455" s="1093">
        <f t="shared" si="179"/>
        <v>0</v>
      </c>
      <c r="AI455" s="1120" t="e">
        <f>DATE(YEAR(tab!$G$3),MONTH(G455),DAY(G455))&gt;tab!$G$3</f>
        <v>#VALUE!</v>
      </c>
      <c r="AJ455" s="1097" t="e">
        <f t="shared" si="183"/>
        <v>#VALUE!</v>
      </c>
      <c r="AK455" s="1041">
        <f t="shared" si="180"/>
        <v>30</v>
      </c>
      <c r="AL455" s="1041">
        <f t="shared" si="181"/>
        <v>30</v>
      </c>
      <c r="AM455" s="1047">
        <f t="shared" si="182"/>
        <v>0</v>
      </c>
    </row>
    <row r="456" spans="3:39" x14ac:dyDescent="0.3">
      <c r="C456" s="122"/>
      <c r="D456" s="388" t="str">
        <f>IF(op!D389=0,"",op!D389)</f>
        <v/>
      </c>
      <c r="E456" s="388" t="str">
        <f>IF(op!E389=0,"-",op!E389)</f>
        <v/>
      </c>
      <c r="F456" s="684" t="str">
        <f>IF(op!F389="","",op!F389+1)</f>
        <v/>
      </c>
      <c r="G456" s="710" t="str">
        <f>IF(op!G389="","",op!G389)</f>
        <v/>
      </c>
      <c r="H456" s="684" t="str">
        <f>IF(op!H389=0,"",op!H389)</f>
        <v/>
      </c>
      <c r="I456" s="389" t="str">
        <f>IF(J456="","",(IF(op!I389+1&gt;LOOKUP(H456,schaal2019,regels2019),op!I389,op!I389+1)))</f>
        <v/>
      </c>
      <c r="J456" s="711" t="str">
        <f>IF(op!J389="","",op!J389)</f>
        <v/>
      </c>
      <c r="K456" s="472"/>
      <c r="L456" s="1049">
        <f>IF(op!L389="","",op!L389)</f>
        <v>0</v>
      </c>
      <c r="M456" s="1049">
        <f>IF(op!M389="","",op!M389)</f>
        <v>0</v>
      </c>
      <c r="N456" s="1051" t="str">
        <f t="shared" si="167"/>
        <v/>
      </c>
      <c r="O456" s="1051" t="str">
        <f t="shared" si="168"/>
        <v/>
      </c>
      <c r="P456" s="1125" t="str">
        <f t="shared" si="169"/>
        <v/>
      </c>
      <c r="Q456" s="472"/>
      <c r="R456" s="923" t="str">
        <f t="shared" si="184"/>
        <v/>
      </c>
      <c r="S456" s="923" t="str">
        <f t="shared" si="170"/>
        <v/>
      </c>
      <c r="T456" s="925" t="str">
        <f t="shared" si="171"/>
        <v/>
      </c>
      <c r="U456" s="545"/>
      <c r="V456" s="1103"/>
      <c r="W456" s="1103"/>
      <c r="X456" s="1060"/>
      <c r="Y456" s="1095" t="e">
        <f t="shared" si="172"/>
        <v>#VALUE!</v>
      </c>
      <c r="Z456" s="1094">
        <f>tab!$B$50</f>
        <v>0.6</v>
      </c>
      <c r="AA456" s="1126" t="e">
        <f t="shared" si="173"/>
        <v>#VALUE!</v>
      </c>
      <c r="AB456" s="1126" t="e">
        <f t="shared" si="174"/>
        <v>#VALUE!</v>
      </c>
      <c r="AC456" s="1126" t="e">
        <f t="shared" si="175"/>
        <v>#VALUE!</v>
      </c>
      <c r="AD456" s="1128" t="e">
        <f t="shared" si="176"/>
        <v>#VALUE!</v>
      </c>
      <c r="AE456" s="1128">
        <f t="shared" si="177"/>
        <v>0</v>
      </c>
      <c r="AF456" s="1096">
        <f>IF(H456&gt;8,tab!$B$51,tab!$B$54)</f>
        <v>0.5</v>
      </c>
      <c r="AG456" s="1097">
        <f t="shared" si="178"/>
        <v>0</v>
      </c>
      <c r="AH456" s="1093">
        <f t="shared" si="179"/>
        <v>0</v>
      </c>
      <c r="AI456" s="1120" t="e">
        <f>DATE(YEAR(tab!$G$3),MONTH(G456),DAY(G456))&gt;tab!$G$3</f>
        <v>#VALUE!</v>
      </c>
      <c r="AJ456" s="1097" t="e">
        <f t="shared" si="183"/>
        <v>#VALUE!</v>
      </c>
      <c r="AK456" s="1041">
        <f t="shared" si="180"/>
        <v>30</v>
      </c>
      <c r="AL456" s="1041">
        <f t="shared" si="181"/>
        <v>30</v>
      </c>
      <c r="AM456" s="1047">
        <f t="shared" si="182"/>
        <v>0</v>
      </c>
    </row>
    <row r="457" spans="3:39" x14ac:dyDescent="0.3">
      <c r="C457" s="122"/>
      <c r="D457" s="388" t="str">
        <f>IF(op!D390=0,"",op!D390)</f>
        <v/>
      </c>
      <c r="E457" s="388" t="str">
        <f>IF(op!E390=0,"-",op!E390)</f>
        <v/>
      </c>
      <c r="F457" s="684" t="str">
        <f>IF(op!F390="","",op!F390+1)</f>
        <v/>
      </c>
      <c r="G457" s="710" t="str">
        <f>IF(op!G390="","",op!G390)</f>
        <v/>
      </c>
      <c r="H457" s="684" t="str">
        <f>IF(op!H390=0,"",op!H390)</f>
        <v/>
      </c>
      <c r="I457" s="389" t="str">
        <f>IF(J457="","",(IF(op!I390+1&gt;LOOKUP(H457,schaal2019,regels2019),op!I390,op!I390+1)))</f>
        <v/>
      </c>
      <c r="J457" s="711" t="str">
        <f>IF(op!J390="","",op!J390)</f>
        <v/>
      </c>
      <c r="K457" s="472"/>
      <c r="L457" s="1049">
        <f>IF(op!L390="","",op!L390)</f>
        <v>0</v>
      </c>
      <c r="M457" s="1049">
        <f>IF(op!M390="","",op!M390)</f>
        <v>0</v>
      </c>
      <c r="N457" s="1051" t="str">
        <f t="shared" si="167"/>
        <v/>
      </c>
      <c r="O457" s="1051" t="str">
        <f t="shared" si="168"/>
        <v/>
      </c>
      <c r="P457" s="1125" t="str">
        <f t="shared" si="169"/>
        <v/>
      </c>
      <c r="Q457" s="472"/>
      <c r="R457" s="923" t="str">
        <f t="shared" si="184"/>
        <v/>
      </c>
      <c r="S457" s="923" t="str">
        <f t="shared" si="170"/>
        <v/>
      </c>
      <c r="T457" s="925" t="str">
        <f t="shared" si="171"/>
        <v/>
      </c>
      <c r="U457" s="545"/>
      <c r="V457" s="1103"/>
      <c r="W457" s="1103"/>
      <c r="X457" s="1060"/>
      <c r="Y457" s="1095" t="e">
        <f t="shared" si="172"/>
        <v>#VALUE!</v>
      </c>
      <c r="Z457" s="1094">
        <f>tab!$B$50</f>
        <v>0.6</v>
      </c>
      <c r="AA457" s="1126" t="e">
        <f t="shared" si="173"/>
        <v>#VALUE!</v>
      </c>
      <c r="AB457" s="1126" t="e">
        <f t="shared" si="174"/>
        <v>#VALUE!</v>
      </c>
      <c r="AC457" s="1126" t="e">
        <f t="shared" si="175"/>
        <v>#VALUE!</v>
      </c>
      <c r="AD457" s="1128" t="e">
        <f t="shared" si="176"/>
        <v>#VALUE!</v>
      </c>
      <c r="AE457" s="1128">
        <f t="shared" si="177"/>
        <v>0</v>
      </c>
      <c r="AF457" s="1096">
        <f>IF(H457&gt;8,tab!$B$51,tab!$B$54)</f>
        <v>0.5</v>
      </c>
      <c r="AG457" s="1097">
        <f t="shared" si="178"/>
        <v>0</v>
      </c>
      <c r="AH457" s="1093">
        <f t="shared" si="179"/>
        <v>0</v>
      </c>
      <c r="AI457" s="1120" t="e">
        <f>DATE(YEAR(tab!$G$3),MONTH(G457),DAY(G457))&gt;tab!$G$3</f>
        <v>#VALUE!</v>
      </c>
      <c r="AJ457" s="1097" t="e">
        <f t="shared" si="183"/>
        <v>#VALUE!</v>
      </c>
      <c r="AK457" s="1041">
        <f t="shared" si="180"/>
        <v>30</v>
      </c>
      <c r="AL457" s="1041">
        <f t="shared" si="181"/>
        <v>30</v>
      </c>
      <c r="AM457" s="1047">
        <f t="shared" si="182"/>
        <v>0</v>
      </c>
    </row>
    <row r="458" spans="3:39" x14ac:dyDescent="0.3">
      <c r="C458" s="122"/>
      <c r="D458" s="388" t="str">
        <f>IF(op!D391=0,"",op!D391)</f>
        <v/>
      </c>
      <c r="E458" s="388" t="str">
        <f>IF(op!E391=0,"-",op!E391)</f>
        <v/>
      </c>
      <c r="F458" s="684" t="str">
        <f>IF(op!F391="","",op!F391+1)</f>
        <v/>
      </c>
      <c r="G458" s="710" t="str">
        <f>IF(op!G391="","",op!G391)</f>
        <v/>
      </c>
      <c r="H458" s="684" t="str">
        <f>IF(op!H391=0,"",op!H391)</f>
        <v/>
      </c>
      <c r="I458" s="389" t="str">
        <f>IF(J458="","",(IF(op!I391+1&gt;LOOKUP(H458,schaal2019,regels2019),op!I391,op!I391+1)))</f>
        <v/>
      </c>
      <c r="J458" s="711" t="str">
        <f>IF(op!J391="","",op!J391)</f>
        <v/>
      </c>
      <c r="K458" s="472"/>
      <c r="L458" s="1049">
        <f>IF(op!L391="","",op!L391)</f>
        <v>0</v>
      </c>
      <c r="M458" s="1049">
        <f>IF(op!M391="","",op!M391)</f>
        <v>0</v>
      </c>
      <c r="N458" s="1051" t="str">
        <f t="shared" si="167"/>
        <v/>
      </c>
      <c r="O458" s="1051" t="str">
        <f t="shared" si="168"/>
        <v/>
      </c>
      <c r="P458" s="1125" t="str">
        <f t="shared" si="169"/>
        <v/>
      </c>
      <c r="Q458" s="472"/>
      <c r="R458" s="923" t="str">
        <f t="shared" si="184"/>
        <v/>
      </c>
      <c r="S458" s="923" t="str">
        <f t="shared" si="170"/>
        <v/>
      </c>
      <c r="T458" s="925" t="str">
        <f t="shared" si="171"/>
        <v/>
      </c>
      <c r="U458" s="545"/>
      <c r="V458" s="1103"/>
      <c r="W458" s="1103"/>
      <c r="X458" s="1060"/>
      <c r="Y458" s="1095" t="e">
        <f t="shared" si="172"/>
        <v>#VALUE!</v>
      </c>
      <c r="Z458" s="1094">
        <f>tab!$B$50</f>
        <v>0.6</v>
      </c>
      <c r="AA458" s="1126" t="e">
        <f t="shared" si="173"/>
        <v>#VALUE!</v>
      </c>
      <c r="AB458" s="1126" t="e">
        <f t="shared" si="174"/>
        <v>#VALUE!</v>
      </c>
      <c r="AC458" s="1126" t="e">
        <f t="shared" si="175"/>
        <v>#VALUE!</v>
      </c>
      <c r="AD458" s="1128" t="e">
        <f t="shared" si="176"/>
        <v>#VALUE!</v>
      </c>
      <c r="AE458" s="1128">
        <f t="shared" si="177"/>
        <v>0</v>
      </c>
      <c r="AF458" s="1096">
        <f>IF(H458&gt;8,tab!$B$51,tab!$B$54)</f>
        <v>0.5</v>
      </c>
      <c r="AG458" s="1097">
        <f t="shared" si="178"/>
        <v>0</v>
      </c>
      <c r="AH458" s="1093">
        <f t="shared" si="179"/>
        <v>0</v>
      </c>
      <c r="AI458" s="1120" t="e">
        <f>DATE(YEAR(tab!$G$3),MONTH(G458),DAY(G458))&gt;tab!$G$3</f>
        <v>#VALUE!</v>
      </c>
      <c r="AJ458" s="1097" t="e">
        <f t="shared" si="183"/>
        <v>#VALUE!</v>
      </c>
      <c r="AK458" s="1041">
        <f t="shared" si="180"/>
        <v>30</v>
      </c>
      <c r="AL458" s="1041">
        <f t="shared" si="181"/>
        <v>30</v>
      </c>
      <c r="AM458" s="1047">
        <f t="shared" si="182"/>
        <v>0</v>
      </c>
    </row>
    <row r="459" spans="3:39" x14ac:dyDescent="0.3">
      <c r="C459" s="122"/>
      <c r="D459" s="388" t="str">
        <f>IF(op!D392=0,"",op!D392)</f>
        <v/>
      </c>
      <c r="E459" s="388" t="str">
        <f>IF(op!E392=0,"-",op!E392)</f>
        <v/>
      </c>
      <c r="F459" s="684" t="str">
        <f>IF(op!F392="","",op!F392+1)</f>
        <v/>
      </c>
      <c r="G459" s="710" t="str">
        <f>IF(op!G392="","",op!G392)</f>
        <v/>
      </c>
      <c r="H459" s="684" t="str">
        <f>IF(op!H392=0,"",op!H392)</f>
        <v/>
      </c>
      <c r="I459" s="389" t="str">
        <f>IF(J459="","",(IF(op!I392+1&gt;LOOKUP(H459,schaal2019,regels2019),op!I392,op!I392+1)))</f>
        <v/>
      </c>
      <c r="J459" s="711" t="str">
        <f>IF(op!J392="","",op!J392)</f>
        <v/>
      </c>
      <c r="K459" s="472"/>
      <c r="L459" s="1049">
        <f>IF(op!L392="","",op!L392)</f>
        <v>0</v>
      </c>
      <c r="M459" s="1049">
        <f>IF(op!M392="","",op!M392)</f>
        <v>0</v>
      </c>
      <c r="N459" s="1051" t="str">
        <f t="shared" si="167"/>
        <v/>
      </c>
      <c r="O459" s="1051" t="str">
        <f t="shared" si="168"/>
        <v/>
      </c>
      <c r="P459" s="1125" t="str">
        <f t="shared" si="169"/>
        <v/>
      </c>
      <c r="Q459" s="472"/>
      <c r="R459" s="923" t="str">
        <f t="shared" si="184"/>
        <v/>
      </c>
      <c r="S459" s="923" t="str">
        <f t="shared" si="170"/>
        <v/>
      </c>
      <c r="T459" s="925" t="str">
        <f t="shared" si="171"/>
        <v/>
      </c>
      <c r="U459" s="545"/>
      <c r="V459" s="1103"/>
      <c r="W459" s="1103"/>
      <c r="X459" s="1060"/>
      <c r="Y459" s="1095" t="e">
        <f t="shared" si="172"/>
        <v>#VALUE!</v>
      </c>
      <c r="Z459" s="1094">
        <f>tab!$B$50</f>
        <v>0.6</v>
      </c>
      <c r="AA459" s="1126" t="e">
        <f t="shared" si="173"/>
        <v>#VALUE!</v>
      </c>
      <c r="AB459" s="1126" t="e">
        <f t="shared" si="174"/>
        <v>#VALUE!</v>
      </c>
      <c r="AC459" s="1126" t="e">
        <f t="shared" si="175"/>
        <v>#VALUE!</v>
      </c>
      <c r="AD459" s="1128" t="e">
        <f t="shared" si="176"/>
        <v>#VALUE!</v>
      </c>
      <c r="AE459" s="1128">
        <f t="shared" si="177"/>
        <v>0</v>
      </c>
      <c r="AF459" s="1096">
        <f>IF(H459&gt;8,tab!$B$51,tab!$B$54)</f>
        <v>0.5</v>
      </c>
      <c r="AG459" s="1097">
        <f t="shared" si="178"/>
        <v>0</v>
      </c>
      <c r="AH459" s="1093">
        <f t="shared" si="179"/>
        <v>0</v>
      </c>
      <c r="AI459" s="1120" t="e">
        <f>DATE(YEAR(tab!$G$3),MONTH(G459),DAY(G459))&gt;tab!$G$3</f>
        <v>#VALUE!</v>
      </c>
      <c r="AJ459" s="1097" t="e">
        <f t="shared" si="183"/>
        <v>#VALUE!</v>
      </c>
      <c r="AK459" s="1041">
        <f t="shared" si="180"/>
        <v>30</v>
      </c>
      <c r="AL459" s="1041">
        <f t="shared" si="181"/>
        <v>30</v>
      </c>
      <c r="AM459" s="1047">
        <f t="shared" si="182"/>
        <v>0</v>
      </c>
    </row>
    <row r="460" spans="3:39" x14ac:dyDescent="0.3">
      <c r="C460" s="122"/>
      <c r="D460" s="388" t="str">
        <f>IF(op!D393=0,"",op!D393)</f>
        <v/>
      </c>
      <c r="E460" s="388" t="str">
        <f>IF(op!E393=0,"-",op!E393)</f>
        <v/>
      </c>
      <c r="F460" s="684" t="str">
        <f>IF(op!F393="","",op!F393+1)</f>
        <v/>
      </c>
      <c r="G460" s="710" t="str">
        <f>IF(op!G393="","",op!G393)</f>
        <v/>
      </c>
      <c r="H460" s="684" t="str">
        <f>IF(op!H393=0,"",op!H393)</f>
        <v/>
      </c>
      <c r="I460" s="389" t="str">
        <f>IF(J460="","",(IF(op!I393+1&gt;LOOKUP(H460,schaal2019,regels2019),op!I393,op!I393+1)))</f>
        <v/>
      </c>
      <c r="J460" s="711" t="str">
        <f>IF(op!J393="","",op!J393)</f>
        <v/>
      </c>
      <c r="K460" s="472"/>
      <c r="L460" s="1049">
        <f>IF(op!L393="","",op!L393)</f>
        <v>0</v>
      </c>
      <c r="M460" s="1049">
        <f>IF(op!M393="","",op!M393)</f>
        <v>0</v>
      </c>
      <c r="N460" s="1051" t="str">
        <f t="shared" si="167"/>
        <v/>
      </c>
      <c r="O460" s="1051" t="str">
        <f t="shared" si="168"/>
        <v/>
      </c>
      <c r="P460" s="1125" t="str">
        <f t="shared" si="169"/>
        <v/>
      </c>
      <c r="Q460" s="472"/>
      <c r="R460" s="923" t="str">
        <f t="shared" si="184"/>
        <v/>
      </c>
      <c r="S460" s="923" t="str">
        <f t="shared" si="170"/>
        <v/>
      </c>
      <c r="T460" s="925" t="str">
        <f t="shared" si="171"/>
        <v/>
      </c>
      <c r="U460" s="545"/>
      <c r="V460" s="1103"/>
      <c r="W460" s="1103"/>
      <c r="X460" s="1060"/>
      <c r="Y460" s="1095" t="e">
        <f t="shared" si="172"/>
        <v>#VALUE!</v>
      </c>
      <c r="Z460" s="1094">
        <f>tab!$B$50</f>
        <v>0.6</v>
      </c>
      <c r="AA460" s="1126" t="e">
        <f t="shared" si="173"/>
        <v>#VALUE!</v>
      </c>
      <c r="AB460" s="1126" t="e">
        <f t="shared" si="174"/>
        <v>#VALUE!</v>
      </c>
      <c r="AC460" s="1126" t="e">
        <f t="shared" si="175"/>
        <v>#VALUE!</v>
      </c>
      <c r="AD460" s="1128" t="e">
        <f t="shared" si="176"/>
        <v>#VALUE!</v>
      </c>
      <c r="AE460" s="1128">
        <f t="shared" si="177"/>
        <v>0</v>
      </c>
      <c r="AF460" s="1096">
        <f>IF(H460&gt;8,tab!$B$51,tab!$B$54)</f>
        <v>0.5</v>
      </c>
      <c r="AG460" s="1097">
        <f t="shared" si="178"/>
        <v>0</v>
      </c>
      <c r="AH460" s="1093">
        <f t="shared" si="179"/>
        <v>0</v>
      </c>
      <c r="AI460" s="1120" t="e">
        <f>DATE(YEAR(tab!$G$3),MONTH(G460),DAY(G460))&gt;tab!$G$3</f>
        <v>#VALUE!</v>
      </c>
      <c r="AJ460" s="1097" t="e">
        <f t="shared" si="183"/>
        <v>#VALUE!</v>
      </c>
      <c r="AK460" s="1041">
        <f t="shared" si="180"/>
        <v>30</v>
      </c>
      <c r="AL460" s="1041">
        <f t="shared" si="181"/>
        <v>30</v>
      </c>
      <c r="AM460" s="1047">
        <f t="shared" si="182"/>
        <v>0</v>
      </c>
    </row>
    <row r="461" spans="3:39" x14ac:dyDescent="0.3">
      <c r="C461" s="122"/>
      <c r="D461" s="388" t="str">
        <f>IF(op!D394=0,"",op!D394)</f>
        <v/>
      </c>
      <c r="E461" s="388" t="str">
        <f>IF(op!E394=0,"-",op!E394)</f>
        <v/>
      </c>
      <c r="F461" s="684" t="str">
        <f>IF(op!F394="","",op!F394+1)</f>
        <v/>
      </c>
      <c r="G461" s="710" t="str">
        <f>IF(op!G394="","",op!G394)</f>
        <v/>
      </c>
      <c r="H461" s="684" t="str">
        <f>IF(op!H394=0,"",op!H394)</f>
        <v/>
      </c>
      <c r="I461" s="389" t="str">
        <f>IF(J461="","",(IF(op!I394+1&gt;LOOKUP(H461,schaal2019,regels2019),op!I394,op!I394+1)))</f>
        <v/>
      </c>
      <c r="J461" s="711" t="str">
        <f>IF(op!J394="","",op!J394)</f>
        <v/>
      </c>
      <c r="K461" s="472"/>
      <c r="L461" s="1049">
        <f>IF(op!L394="","",op!L394)</f>
        <v>0</v>
      </c>
      <c r="M461" s="1049">
        <f>IF(op!M394="","",op!M394)</f>
        <v>0</v>
      </c>
      <c r="N461" s="1051" t="str">
        <f t="shared" si="167"/>
        <v/>
      </c>
      <c r="O461" s="1051" t="str">
        <f t="shared" si="168"/>
        <v/>
      </c>
      <c r="P461" s="1125" t="str">
        <f t="shared" si="169"/>
        <v/>
      </c>
      <c r="Q461" s="472"/>
      <c r="R461" s="923" t="str">
        <f t="shared" si="184"/>
        <v/>
      </c>
      <c r="S461" s="923" t="str">
        <f t="shared" si="170"/>
        <v/>
      </c>
      <c r="T461" s="925" t="str">
        <f t="shared" si="171"/>
        <v/>
      </c>
      <c r="U461" s="545"/>
      <c r="V461" s="1103"/>
      <c r="W461" s="1103"/>
      <c r="X461" s="1060"/>
      <c r="Y461" s="1095" t="e">
        <f t="shared" si="172"/>
        <v>#VALUE!</v>
      </c>
      <c r="Z461" s="1094">
        <f>tab!$B$50</f>
        <v>0.6</v>
      </c>
      <c r="AA461" s="1126" t="e">
        <f t="shared" si="173"/>
        <v>#VALUE!</v>
      </c>
      <c r="AB461" s="1126" t="e">
        <f t="shared" si="174"/>
        <v>#VALUE!</v>
      </c>
      <c r="AC461" s="1126" t="e">
        <f t="shared" si="175"/>
        <v>#VALUE!</v>
      </c>
      <c r="AD461" s="1128" t="e">
        <f t="shared" si="176"/>
        <v>#VALUE!</v>
      </c>
      <c r="AE461" s="1128">
        <f t="shared" si="177"/>
        <v>0</v>
      </c>
      <c r="AF461" s="1096">
        <f>IF(H461&gt;8,tab!$B$51,tab!$B$54)</f>
        <v>0.5</v>
      </c>
      <c r="AG461" s="1097">
        <f t="shared" si="178"/>
        <v>0</v>
      </c>
      <c r="AH461" s="1093">
        <f t="shared" si="179"/>
        <v>0</v>
      </c>
      <c r="AI461" s="1120" t="e">
        <f>DATE(YEAR(tab!$G$3),MONTH(G461),DAY(G461))&gt;tab!$G$3</f>
        <v>#VALUE!</v>
      </c>
      <c r="AJ461" s="1097" t="e">
        <f t="shared" si="183"/>
        <v>#VALUE!</v>
      </c>
      <c r="AK461" s="1041">
        <f t="shared" si="180"/>
        <v>30</v>
      </c>
      <c r="AL461" s="1041">
        <f t="shared" si="181"/>
        <v>30</v>
      </c>
      <c r="AM461" s="1047">
        <f t="shared" si="182"/>
        <v>0</v>
      </c>
    </row>
    <row r="462" spans="3:39" x14ac:dyDescent="0.3">
      <c r="C462" s="122"/>
      <c r="D462" s="388" t="str">
        <f>IF(op!D395=0,"",op!D395)</f>
        <v/>
      </c>
      <c r="E462" s="388" t="str">
        <f>IF(op!E395=0,"-",op!E395)</f>
        <v/>
      </c>
      <c r="F462" s="684" t="str">
        <f>IF(op!F395="","",op!F395+1)</f>
        <v/>
      </c>
      <c r="G462" s="710" t="str">
        <f>IF(op!G395="","",op!G395)</f>
        <v/>
      </c>
      <c r="H462" s="684" t="str">
        <f>IF(op!H395=0,"",op!H395)</f>
        <v/>
      </c>
      <c r="I462" s="389" t="str">
        <f>IF(J462="","",(IF(op!I395+1&gt;LOOKUP(H462,schaal2019,regels2019),op!I395,op!I395+1)))</f>
        <v/>
      </c>
      <c r="J462" s="711" t="str">
        <f>IF(op!J395="","",op!J395)</f>
        <v/>
      </c>
      <c r="K462" s="472"/>
      <c r="L462" s="1049">
        <f>IF(op!L395="","",op!L395)</f>
        <v>0</v>
      </c>
      <c r="M462" s="1049">
        <f>IF(op!M395="","",op!M395)</f>
        <v>0</v>
      </c>
      <c r="N462" s="1051" t="str">
        <f t="shared" si="167"/>
        <v/>
      </c>
      <c r="O462" s="1051" t="str">
        <f t="shared" si="168"/>
        <v/>
      </c>
      <c r="P462" s="1125" t="str">
        <f t="shared" si="169"/>
        <v/>
      </c>
      <c r="Q462" s="472"/>
      <c r="R462" s="923" t="str">
        <f t="shared" si="184"/>
        <v/>
      </c>
      <c r="S462" s="923" t="str">
        <f t="shared" si="170"/>
        <v/>
      </c>
      <c r="T462" s="925" t="str">
        <f t="shared" si="171"/>
        <v/>
      </c>
      <c r="U462" s="545"/>
      <c r="V462" s="1103"/>
      <c r="W462" s="1103"/>
      <c r="X462" s="1060"/>
      <c r="Y462" s="1095" t="e">
        <f t="shared" si="172"/>
        <v>#VALUE!</v>
      </c>
      <c r="Z462" s="1094">
        <f>tab!$B$50</f>
        <v>0.6</v>
      </c>
      <c r="AA462" s="1126" t="e">
        <f t="shared" si="173"/>
        <v>#VALUE!</v>
      </c>
      <c r="AB462" s="1126" t="e">
        <f t="shared" si="174"/>
        <v>#VALUE!</v>
      </c>
      <c r="AC462" s="1126" t="e">
        <f t="shared" si="175"/>
        <v>#VALUE!</v>
      </c>
      <c r="AD462" s="1128" t="e">
        <f t="shared" si="176"/>
        <v>#VALUE!</v>
      </c>
      <c r="AE462" s="1128">
        <f t="shared" si="177"/>
        <v>0</v>
      </c>
      <c r="AF462" s="1096">
        <f>IF(H462&gt;8,tab!$B$51,tab!$B$54)</f>
        <v>0.5</v>
      </c>
      <c r="AG462" s="1097">
        <f t="shared" si="178"/>
        <v>0</v>
      </c>
      <c r="AH462" s="1093">
        <f t="shared" si="179"/>
        <v>0</v>
      </c>
      <c r="AI462" s="1120" t="e">
        <f>DATE(YEAR(tab!$G$3),MONTH(G462),DAY(G462))&gt;tab!$G$3</f>
        <v>#VALUE!</v>
      </c>
      <c r="AJ462" s="1097" t="e">
        <f t="shared" si="183"/>
        <v>#VALUE!</v>
      </c>
      <c r="AK462" s="1041">
        <f t="shared" si="180"/>
        <v>30</v>
      </c>
      <c r="AL462" s="1041">
        <f t="shared" si="181"/>
        <v>30</v>
      </c>
      <c r="AM462" s="1047">
        <f t="shared" si="182"/>
        <v>0</v>
      </c>
    </row>
    <row r="463" spans="3:39" x14ac:dyDescent="0.3">
      <c r="C463" s="122"/>
      <c r="D463" s="388" t="str">
        <f>IF(op!D396=0,"",op!D396)</f>
        <v/>
      </c>
      <c r="E463" s="388" t="str">
        <f>IF(op!E396=0,"-",op!E396)</f>
        <v/>
      </c>
      <c r="F463" s="684" t="str">
        <f>IF(op!F396="","",op!F396+1)</f>
        <v/>
      </c>
      <c r="G463" s="710" t="str">
        <f>IF(op!G396="","",op!G396)</f>
        <v/>
      </c>
      <c r="H463" s="684" t="str">
        <f>IF(op!H396=0,"",op!H396)</f>
        <v/>
      </c>
      <c r="I463" s="389" t="str">
        <f>IF(J463="","",(IF(op!I396+1&gt;LOOKUP(H463,schaal2019,regels2019),op!I396,op!I396+1)))</f>
        <v/>
      </c>
      <c r="J463" s="711" t="str">
        <f>IF(op!J396="","",op!J396)</f>
        <v/>
      </c>
      <c r="K463" s="472"/>
      <c r="L463" s="1049">
        <f>IF(op!L396="","",op!L396)</f>
        <v>0</v>
      </c>
      <c r="M463" s="1049">
        <f>IF(op!M396="","",op!M396)</f>
        <v>0</v>
      </c>
      <c r="N463" s="1051" t="str">
        <f t="shared" si="167"/>
        <v/>
      </c>
      <c r="O463" s="1051" t="str">
        <f t="shared" si="168"/>
        <v/>
      </c>
      <c r="P463" s="1125" t="str">
        <f t="shared" si="169"/>
        <v/>
      </c>
      <c r="Q463" s="472"/>
      <c r="R463" s="923" t="str">
        <f t="shared" si="184"/>
        <v/>
      </c>
      <c r="S463" s="923" t="str">
        <f t="shared" si="170"/>
        <v/>
      </c>
      <c r="T463" s="925" t="str">
        <f t="shared" si="171"/>
        <v/>
      </c>
      <c r="U463" s="545"/>
      <c r="V463" s="1103"/>
      <c r="W463" s="1103"/>
      <c r="X463" s="1060"/>
      <c r="Y463" s="1095" t="e">
        <f t="shared" si="172"/>
        <v>#VALUE!</v>
      </c>
      <c r="Z463" s="1094">
        <f>tab!$B$50</f>
        <v>0.6</v>
      </c>
      <c r="AA463" s="1126" t="e">
        <f t="shared" si="173"/>
        <v>#VALUE!</v>
      </c>
      <c r="AB463" s="1126" t="e">
        <f t="shared" si="174"/>
        <v>#VALUE!</v>
      </c>
      <c r="AC463" s="1126" t="e">
        <f t="shared" si="175"/>
        <v>#VALUE!</v>
      </c>
      <c r="AD463" s="1128" t="e">
        <f t="shared" si="176"/>
        <v>#VALUE!</v>
      </c>
      <c r="AE463" s="1128">
        <f t="shared" si="177"/>
        <v>0</v>
      </c>
      <c r="AF463" s="1096">
        <f>IF(H463&gt;8,tab!$B$51,tab!$B$54)</f>
        <v>0.5</v>
      </c>
      <c r="AG463" s="1097">
        <f t="shared" si="178"/>
        <v>0</v>
      </c>
      <c r="AH463" s="1093">
        <f t="shared" si="179"/>
        <v>0</v>
      </c>
      <c r="AI463" s="1120" t="e">
        <f>DATE(YEAR(tab!$G$3),MONTH(G463),DAY(G463))&gt;tab!$G$3</f>
        <v>#VALUE!</v>
      </c>
      <c r="AJ463" s="1097" t="e">
        <f t="shared" si="183"/>
        <v>#VALUE!</v>
      </c>
      <c r="AK463" s="1041">
        <f t="shared" si="180"/>
        <v>30</v>
      </c>
      <c r="AL463" s="1041">
        <f t="shared" si="181"/>
        <v>30</v>
      </c>
      <c r="AM463" s="1047">
        <f t="shared" si="182"/>
        <v>0</v>
      </c>
    </row>
    <row r="464" spans="3:39" x14ac:dyDescent="0.3">
      <c r="C464" s="122"/>
      <c r="D464" s="388" t="str">
        <f>IF(op!D397=0,"",op!D397)</f>
        <v/>
      </c>
      <c r="E464" s="388" t="str">
        <f>IF(op!E397=0,"-",op!E397)</f>
        <v/>
      </c>
      <c r="F464" s="684" t="str">
        <f>IF(op!F397="","",op!F397+1)</f>
        <v/>
      </c>
      <c r="G464" s="710" t="str">
        <f>IF(op!G397="","",op!G397)</f>
        <v/>
      </c>
      <c r="H464" s="684" t="str">
        <f>IF(op!H397=0,"",op!H397)</f>
        <v/>
      </c>
      <c r="I464" s="389" t="str">
        <f>IF(J464="","",(IF(op!I397+1&gt;LOOKUP(H464,schaal2019,regels2019),op!I397,op!I397+1)))</f>
        <v/>
      </c>
      <c r="J464" s="711" t="str">
        <f>IF(op!J397="","",op!J397)</f>
        <v/>
      </c>
      <c r="K464" s="472"/>
      <c r="L464" s="1049">
        <f>IF(op!L397="","",op!L397)</f>
        <v>0</v>
      </c>
      <c r="M464" s="1049">
        <f>IF(op!M397="","",op!M397)</f>
        <v>0</v>
      </c>
      <c r="N464" s="1051" t="str">
        <f t="shared" si="167"/>
        <v/>
      </c>
      <c r="O464" s="1051" t="str">
        <f t="shared" si="168"/>
        <v/>
      </c>
      <c r="P464" s="1125" t="str">
        <f t="shared" si="169"/>
        <v/>
      </c>
      <c r="Q464" s="472"/>
      <c r="R464" s="923" t="str">
        <f t="shared" si="184"/>
        <v/>
      </c>
      <c r="S464" s="923" t="str">
        <f t="shared" si="170"/>
        <v/>
      </c>
      <c r="T464" s="925" t="str">
        <f t="shared" si="171"/>
        <v/>
      </c>
      <c r="U464" s="545"/>
      <c r="V464" s="1103"/>
      <c r="W464" s="1103"/>
      <c r="X464" s="1060"/>
      <c r="Y464" s="1095" t="e">
        <f t="shared" si="172"/>
        <v>#VALUE!</v>
      </c>
      <c r="Z464" s="1094">
        <f>tab!$B$50</f>
        <v>0.6</v>
      </c>
      <c r="AA464" s="1126" t="e">
        <f t="shared" si="173"/>
        <v>#VALUE!</v>
      </c>
      <c r="AB464" s="1126" t="e">
        <f t="shared" si="174"/>
        <v>#VALUE!</v>
      </c>
      <c r="AC464" s="1126" t="e">
        <f t="shared" si="175"/>
        <v>#VALUE!</v>
      </c>
      <c r="AD464" s="1128" t="e">
        <f t="shared" si="176"/>
        <v>#VALUE!</v>
      </c>
      <c r="AE464" s="1128">
        <f t="shared" si="177"/>
        <v>0</v>
      </c>
      <c r="AF464" s="1096">
        <f>IF(H464&gt;8,tab!$B$51,tab!$B$54)</f>
        <v>0.5</v>
      </c>
      <c r="AG464" s="1097">
        <f t="shared" si="178"/>
        <v>0</v>
      </c>
      <c r="AH464" s="1093">
        <f t="shared" si="179"/>
        <v>0</v>
      </c>
      <c r="AI464" s="1120" t="e">
        <f>DATE(YEAR(tab!$G$3),MONTH(G464),DAY(G464))&gt;tab!$G$3</f>
        <v>#VALUE!</v>
      </c>
      <c r="AJ464" s="1097" t="e">
        <f t="shared" si="183"/>
        <v>#VALUE!</v>
      </c>
      <c r="AK464" s="1041">
        <f t="shared" si="180"/>
        <v>30</v>
      </c>
      <c r="AL464" s="1041">
        <f t="shared" si="181"/>
        <v>30</v>
      </c>
      <c r="AM464" s="1047">
        <f t="shared" si="182"/>
        <v>0</v>
      </c>
    </row>
    <row r="465" spans="3:39" x14ac:dyDescent="0.3">
      <c r="C465" s="122"/>
      <c r="D465" s="388" t="str">
        <f>IF(op!D398=0,"",op!D398)</f>
        <v/>
      </c>
      <c r="E465" s="388" t="str">
        <f>IF(op!E398=0,"-",op!E398)</f>
        <v/>
      </c>
      <c r="F465" s="684" t="str">
        <f>IF(op!F398="","",op!F398+1)</f>
        <v/>
      </c>
      <c r="G465" s="710" t="str">
        <f>IF(op!G398="","",op!G398)</f>
        <v/>
      </c>
      <c r="H465" s="684" t="str">
        <f>IF(op!H398=0,"",op!H398)</f>
        <v/>
      </c>
      <c r="I465" s="389" t="str">
        <f>IF(J465="","",(IF(op!I398+1&gt;LOOKUP(H465,schaal2019,regels2019),op!I398,op!I398+1)))</f>
        <v/>
      </c>
      <c r="J465" s="711" t="str">
        <f>IF(op!J398="","",op!J398)</f>
        <v/>
      </c>
      <c r="K465" s="472"/>
      <c r="L465" s="1049">
        <f>IF(op!L398="","",op!L398)</f>
        <v>0</v>
      </c>
      <c r="M465" s="1049">
        <f>IF(op!M398="","",op!M398)</f>
        <v>0</v>
      </c>
      <c r="N465" s="1051" t="str">
        <f t="shared" si="167"/>
        <v/>
      </c>
      <c r="O465" s="1051" t="str">
        <f t="shared" si="168"/>
        <v/>
      </c>
      <c r="P465" s="1125" t="str">
        <f t="shared" si="169"/>
        <v/>
      </c>
      <c r="Q465" s="472"/>
      <c r="R465" s="923" t="str">
        <f t="shared" si="184"/>
        <v/>
      </c>
      <c r="S465" s="923" t="str">
        <f t="shared" si="170"/>
        <v/>
      </c>
      <c r="T465" s="925" t="str">
        <f t="shared" si="171"/>
        <v/>
      </c>
      <c r="U465" s="545"/>
      <c r="V465" s="1103"/>
      <c r="W465" s="1103"/>
      <c r="X465" s="1060"/>
      <c r="Y465" s="1095" t="e">
        <f t="shared" si="172"/>
        <v>#VALUE!</v>
      </c>
      <c r="Z465" s="1094">
        <f>tab!$B$50</f>
        <v>0.6</v>
      </c>
      <c r="AA465" s="1126" t="e">
        <f t="shared" si="173"/>
        <v>#VALUE!</v>
      </c>
      <c r="AB465" s="1126" t="e">
        <f t="shared" si="174"/>
        <v>#VALUE!</v>
      </c>
      <c r="AC465" s="1126" t="e">
        <f t="shared" si="175"/>
        <v>#VALUE!</v>
      </c>
      <c r="AD465" s="1128" t="e">
        <f t="shared" si="176"/>
        <v>#VALUE!</v>
      </c>
      <c r="AE465" s="1128">
        <f t="shared" si="177"/>
        <v>0</v>
      </c>
      <c r="AF465" s="1096">
        <f>IF(H465&gt;8,tab!$B$51,tab!$B$54)</f>
        <v>0.5</v>
      </c>
      <c r="AG465" s="1097">
        <f t="shared" si="178"/>
        <v>0</v>
      </c>
      <c r="AH465" s="1093">
        <f t="shared" si="179"/>
        <v>0</v>
      </c>
      <c r="AI465" s="1120" t="e">
        <f>DATE(YEAR(tab!$G$3),MONTH(G465),DAY(G465))&gt;tab!$G$3</f>
        <v>#VALUE!</v>
      </c>
      <c r="AJ465" s="1097" t="e">
        <f t="shared" si="183"/>
        <v>#VALUE!</v>
      </c>
      <c r="AK465" s="1041">
        <f t="shared" si="180"/>
        <v>30</v>
      </c>
      <c r="AL465" s="1041">
        <f t="shared" si="181"/>
        <v>30</v>
      </c>
      <c r="AM465" s="1047">
        <f t="shared" si="182"/>
        <v>0</v>
      </c>
    </row>
    <row r="466" spans="3:39" x14ac:dyDescent="0.3">
      <c r="C466" s="122"/>
      <c r="D466" s="388" t="str">
        <f>IF(op!D399=0,"",op!D399)</f>
        <v/>
      </c>
      <c r="E466" s="388" t="str">
        <f>IF(op!E399=0,"-",op!E399)</f>
        <v/>
      </c>
      <c r="F466" s="684" t="str">
        <f>IF(op!F399="","",op!F399+1)</f>
        <v/>
      </c>
      <c r="G466" s="710" t="str">
        <f>IF(op!G399="","",op!G399)</f>
        <v/>
      </c>
      <c r="H466" s="684" t="str">
        <f>IF(op!H399=0,"",op!H399)</f>
        <v/>
      </c>
      <c r="I466" s="389" t="str">
        <f>IF(J466="","",(IF(op!I399+1&gt;LOOKUP(H466,schaal2019,regels2019),op!I399,op!I399+1)))</f>
        <v/>
      </c>
      <c r="J466" s="711" t="str">
        <f>IF(op!J399="","",op!J399)</f>
        <v/>
      </c>
      <c r="K466" s="472"/>
      <c r="L466" s="1049">
        <f>IF(op!L399="","",op!L399)</f>
        <v>0</v>
      </c>
      <c r="M466" s="1049">
        <f>IF(op!M399="","",op!M399)</f>
        <v>0</v>
      </c>
      <c r="N466" s="1051" t="str">
        <f t="shared" si="167"/>
        <v/>
      </c>
      <c r="O466" s="1051" t="str">
        <f t="shared" si="168"/>
        <v/>
      </c>
      <c r="P466" s="1125" t="str">
        <f t="shared" si="169"/>
        <v/>
      </c>
      <c r="Q466" s="472"/>
      <c r="R466" s="923" t="str">
        <f t="shared" si="184"/>
        <v/>
      </c>
      <c r="S466" s="923" t="str">
        <f t="shared" si="170"/>
        <v/>
      </c>
      <c r="T466" s="925" t="str">
        <f t="shared" si="171"/>
        <v/>
      </c>
      <c r="U466" s="545"/>
      <c r="V466" s="1103"/>
      <c r="W466" s="1103"/>
      <c r="X466" s="1060"/>
      <c r="Y466" s="1095" t="e">
        <f t="shared" si="172"/>
        <v>#VALUE!</v>
      </c>
      <c r="Z466" s="1094">
        <f>tab!$B$50</f>
        <v>0.6</v>
      </c>
      <c r="AA466" s="1126" t="e">
        <f t="shared" si="173"/>
        <v>#VALUE!</v>
      </c>
      <c r="AB466" s="1126" t="e">
        <f t="shared" si="174"/>
        <v>#VALUE!</v>
      </c>
      <c r="AC466" s="1126" t="e">
        <f t="shared" si="175"/>
        <v>#VALUE!</v>
      </c>
      <c r="AD466" s="1128" t="e">
        <f t="shared" si="176"/>
        <v>#VALUE!</v>
      </c>
      <c r="AE466" s="1128">
        <f t="shared" si="177"/>
        <v>0</v>
      </c>
      <c r="AF466" s="1096">
        <f>IF(H466&gt;8,tab!$B$51,tab!$B$54)</f>
        <v>0.5</v>
      </c>
      <c r="AG466" s="1097">
        <f t="shared" si="178"/>
        <v>0</v>
      </c>
      <c r="AH466" s="1093">
        <f t="shared" si="179"/>
        <v>0</v>
      </c>
      <c r="AI466" s="1120" t="e">
        <f>DATE(YEAR(tab!$G$3),MONTH(G466),DAY(G466))&gt;tab!$G$3</f>
        <v>#VALUE!</v>
      </c>
      <c r="AJ466" s="1097" t="e">
        <f t="shared" si="183"/>
        <v>#VALUE!</v>
      </c>
      <c r="AK466" s="1041">
        <f t="shared" si="180"/>
        <v>30</v>
      </c>
      <c r="AL466" s="1041">
        <f t="shared" si="181"/>
        <v>30</v>
      </c>
      <c r="AM466" s="1047">
        <f t="shared" si="182"/>
        <v>0</v>
      </c>
    </row>
    <row r="467" spans="3:39" x14ac:dyDescent="0.3">
      <c r="C467" s="122"/>
      <c r="D467" s="388" t="str">
        <f>IF(op!D400=0,"",op!D400)</f>
        <v/>
      </c>
      <c r="E467" s="388" t="str">
        <f>IF(op!E400=0,"-",op!E400)</f>
        <v/>
      </c>
      <c r="F467" s="684" t="str">
        <f>IF(op!F400="","",op!F400+1)</f>
        <v/>
      </c>
      <c r="G467" s="710" t="str">
        <f>IF(op!G400="","",op!G400)</f>
        <v/>
      </c>
      <c r="H467" s="684" t="str">
        <f>IF(op!H400=0,"",op!H400)</f>
        <v/>
      </c>
      <c r="I467" s="389" t="str">
        <f>IF(J467="","",(IF(op!I400+1&gt;LOOKUP(H467,schaal2019,regels2019),op!I400,op!I400+1)))</f>
        <v/>
      </c>
      <c r="J467" s="711" t="str">
        <f>IF(op!J400="","",op!J400)</f>
        <v/>
      </c>
      <c r="K467" s="472"/>
      <c r="L467" s="1049">
        <f>IF(op!L400="","",op!L400)</f>
        <v>0</v>
      </c>
      <c r="M467" s="1049">
        <f>IF(op!M400="","",op!M400)</f>
        <v>0</v>
      </c>
      <c r="N467" s="1051" t="str">
        <f t="shared" si="167"/>
        <v/>
      </c>
      <c r="O467" s="1051" t="str">
        <f t="shared" si="168"/>
        <v/>
      </c>
      <c r="P467" s="1125" t="str">
        <f t="shared" si="169"/>
        <v/>
      </c>
      <c r="Q467" s="472"/>
      <c r="R467" s="923" t="str">
        <f t="shared" si="184"/>
        <v/>
      </c>
      <c r="S467" s="923" t="str">
        <f t="shared" si="170"/>
        <v/>
      </c>
      <c r="T467" s="925" t="str">
        <f t="shared" si="171"/>
        <v/>
      </c>
      <c r="U467" s="545"/>
      <c r="V467" s="1103"/>
      <c r="W467" s="1103"/>
      <c r="X467" s="1060"/>
      <c r="Y467" s="1095" t="e">
        <f t="shared" si="172"/>
        <v>#VALUE!</v>
      </c>
      <c r="Z467" s="1094">
        <f>tab!$B$50</f>
        <v>0.6</v>
      </c>
      <c r="AA467" s="1126" t="e">
        <f t="shared" si="173"/>
        <v>#VALUE!</v>
      </c>
      <c r="AB467" s="1126" t="e">
        <f t="shared" si="174"/>
        <v>#VALUE!</v>
      </c>
      <c r="AC467" s="1126" t="e">
        <f t="shared" si="175"/>
        <v>#VALUE!</v>
      </c>
      <c r="AD467" s="1128" t="e">
        <f t="shared" si="176"/>
        <v>#VALUE!</v>
      </c>
      <c r="AE467" s="1128">
        <f t="shared" si="177"/>
        <v>0</v>
      </c>
      <c r="AF467" s="1096">
        <f>IF(H467&gt;8,tab!$B$51,tab!$B$54)</f>
        <v>0.5</v>
      </c>
      <c r="AG467" s="1097">
        <f t="shared" si="178"/>
        <v>0</v>
      </c>
      <c r="AH467" s="1093">
        <f t="shared" si="179"/>
        <v>0</v>
      </c>
      <c r="AI467" s="1120" t="e">
        <f>DATE(YEAR(tab!$G$3),MONTH(G467),DAY(G467))&gt;tab!$G$3</f>
        <v>#VALUE!</v>
      </c>
      <c r="AJ467" s="1097" t="e">
        <f t="shared" si="183"/>
        <v>#VALUE!</v>
      </c>
      <c r="AK467" s="1041">
        <f t="shared" si="180"/>
        <v>30</v>
      </c>
      <c r="AL467" s="1041">
        <f t="shared" si="181"/>
        <v>30</v>
      </c>
      <c r="AM467" s="1047">
        <f t="shared" si="182"/>
        <v>0</v>
      </c>
    </row>
    <row r="468" spans="3:39" x14ac:dyDescent="0.3">
      <c r="C468" s="122"/>
      <c r="D468" s="388" t="str">
        <f>IF(op!D401=0,"",op!D401)</f>
        <v/>
      </c>
      <c r="E468" s="388" t="str">
        <f>IF(op!E401=0,"-",op!E401)</f>
        <v/>
      </c>
      <c r="F468" s="684" t="str">
        <f>IF(op!F401="","",op!F401+1)</f>
        <v/>
      </c>
      <c r="G468" s="710" t="str">
        <f>IF(op!G401="","",op!G401)</f>
        <v/>
      </c>
      <c r="H468" s="684" t="str">
        <f>IF(op!H401=0,"",op!H401)</f>
        <v/>
      </c>
      <c r="I468" s="389" t="str">
        <f>IF(J468="","",(IF(op!I401+1&gt;LOOKUP(H468,schaal2019,regels2019),op!I401,op!I401+1)))</f>
        <v/>
      </c>
      <c r="J468" s="711" t="str">
        <f>IF(op!J401="","",op!J401)</f>
        <v/>
      </c>
      <c r="K468" s="472"/>
      <c r="L468" s="1049">
        <f>IF(op!L401="","",op!L401)</f>
        <v>0</v>
      </c>
      <c r="M468" s="1049">
        <f>IF(op!M401="","",op!M401)</f>
        <v>0</v>
      </c>
      <c r="N468" s="1051" t="str">
        <f t="shared" si="167"/>
        <v/>
      </c>
      <c r="O468" s="1051" t="str">
        <f t="shared" si="168"/>
        <v/>
      </c>
      <c r="P468" s="1125" t="str">
        <f t="shared" si="169"/>
        <v/>
      </c>
      <c r="Q468" s="472"/>
      <c r="R468" s="923" t="str">
        <f t="shared" si="184"/>
        <v/>
      </c>
      <c r="S468" s="923" t="str">
        <f t="shared" si="170"/>
        <v/>
      </c>
      <c r="T468" s="925" t="str">
        <f t="shared" si="171"/>
        <v/>
      </c>
      <c r="U468" s="545"/>
      <c r="V468" s="1103"/>
      <c r="W468" s="1103"/>
      <c r="X468" s="1060"/>
      <c r="Y468" s="1095" t="e">
        <f t="shared" si="172"/>
        <v>#VALUE!</v>
      </c>
      <c r="Z468" s="1094">
        <f>tab!$B$50</f>
        <v>0.6</v>
      </c>
      <c r="AA468" s="1126" t="e">
        <f t="shared" si="173"/>
        <v>#VALUE!</v>
      </c>
      <c r="AB468" s="1126" t="e">
        <f t="shared" si="174"/>
        <v>#VALUE!</v>
      </c>
      <c r="AC468" s="1126" t="e">
        <f t="shared" si="175"/>
        <v>#VALUE!</v>
      </c>
      <c r="AD468" s="1128" t="e">
        <f t="shared" si="176"/>
        <v>#VALUE!</v>
      </c>
      <c r="AE468" s="1128">
        <f t="shared" si="177"/>
        <v>0</v>
      </c>
      <c r="AF468" s="1096">
        <f>IF(H468&gt;8,tab!$B$51,tab!$B$54)</f>
        <v>0.5</v>
      </c>
      <c r="AG468" s="1097">
        <f t="shared" si="178"/>
        <v>0</v>
      </c>
      <c r="AH468" s="1093">
        <f t="shared" si="179"/>
        <v>0</v>
      </c>
      <c r="AI468" s="1120" t="e">
        <f>DATE(YEAR(tab!$G$3),MONTH(G468),DAY(G468))&gt;tab!$G$3</f>
        <v>#VALUE!</v>
      </c>
      <c r="AJ468" s="1097" t="e">
        <f t="shared" si="183"/>
        <v>#VALUE!</v>
      </c>
      <c r="AK468" s="1041">
        <f t="shared" si="180"/>
        <v>30</v>
      </c>
      <c r="AL468" s="1041">
        <f t="shared" si="181"/>
        <v>30</v>
      </c>
      <c r="AM468" s="1047">
        <f t="shared" si="182"/>
        <v>0</v>
      </c>
    </row>
    <row r="469" spans="3:39" x14ac:dyDescent="0.3">
      <c r="C469" s="122"/>
      <c r="D469" s="388" t="str">
        <f>IF(op!D402=0,"",op!D402)</f>
        <v/>
      </c>
      <c r="E469" s="388" t="str">
        <f>IF(op!E402=0,"-",op!E402)</f>
        <v/>
      </c>
      <c r="F469" s="684" t="str">
        <f>IF(op!F402="","",op!F402+1)</f>
        <v/>
      </c>
      <c r="G469" s="710" t="str">
        <f>IF(op!G402="","",op!G402)</f>
        <v/>
      </c>
      <c r="H469" s="684" t="str">
        <f>IF(op!H402=0,"",op!H402)</f>
        <v/>
      </c>
      <c r="I469" s="389" t="str">
        <f>IF(J469="","",(IF(op!I402+1&gt;LOOKUP(H469,schaal2019,regels2019),op!I402,op!I402+1)))</f>
        <v/>
      </c>
      <c r="J469" s="711" t="str">
        <f>IF(op!J402="","",op!J402)</f>
        <v/>
      </c>
      <c r="K469" s="472"/>
      <c r="L469" s="1049">
        <f>IF(op!L402="","",op!L402)</f>
        <v>0</v>
      </c>
      <c r="M469" s="1049">
        <f>IF(op!M402="","",op!M402)</f>
        <v>0</v>
      </c>
      <c r="N469" s="1051" t="str">
        <f t="shared" si="167"/>
        <v/>
      </c>
      <c r="O469" s="1051" t="str">
        <f t="shared" si="168"/>
        <v/>
      </c>
      <c r="P469" s="1125" t="str">
        <f t="shared" si="169"/>
        <v/>
      </c>
      <c r="Q469" s="472"/>
      <c r="R469" s="923" t="str">
        <f t="shared" si="184"/>
        <v/>
      </c>
      <c r="S469" s="923" t="str">
        <f t="shared" si="170"/>
        <v/>
      </c>
      <c r="T469" s="925" t="str">
        <f t="shared" si="171"/>
        <v/>
      </c>
      <c r="U469" s="545"/>
      <c r="V469" s="1103"/>
      <c r="W469" s="1103"/>
      <c r="X469" s="1060"/>
      <c r="Y469" s="1095" t="e">
        <f t="shared" si="172"/>
        <v>#VALUE!</v>
      </c>
      <c r="Z469" s="1094">
        <f>tab!$B$50</f>
        <v>0.6</v>
      </c>
      <c r="AA469" s="1126" t="e">
        <f t="shared" si="173"/>
        <v>#VALUE!</v>
      </c>
      <c r="AB469" s="1126" t="e">
        <f t="shared" si="174"/>
        <v>#VALUE!</v>
      </c>
      <c r="AC469" s="1126" t="e">
        <f t="shared" si="175"/>
        <v>#VALUE!</v>
      </c>
      <c r="AD469" s="1128" t="e">
        <f t="shared" si="176"/>
        <v>#VALUE!</v>
      </c>
      <c r="AE469" s="1128">
        <f t="shared" si="177"/>
        <v>0</v>
      </c>
      <c r="AF469" s="1096">
        <f>IF(H469&gt;8,tab!$B$51,tab!$B$54)</f>
        <v>0.5</v>
      </c>
      <c r="AG469" s="1097">
        <f t="shared" si="178"/>
        <v>0</v>
      </c>
      <c r="AH469" s="1093">
        <f t="shared" si="179"/>
        <v>0</v>
      </c>
      <c r="AI469" s="1120" t="e">
        <f>DATE(YEAR(tab!$G$3),MONTH(G469),DAY(G469))&gt;tab!$G$3</f>
        <v>#VALUE!</v>
      </c>
      <c r="AJ469" s="1097" t="e">
        <f t="shared" si="183"/>
        <v>#VALUE!</v>
      </c>
      <c r="AK469" s="1041">
        <f t="shared" si="180"/>
        <v>30</v>
      </c>
      <c r="AL469" s="1041">
        <f t="shared" si="181"/>
        <v>30</v>
      </c>
      <c r="AM469" s="1047">
        <f t="shared" si="182"/>
        <v>0</v>
      </c>
    </row>
    <row r="470" spans="3:39" x14ac:dyDescent="0.3">
      <c r="C470" s="122"/>
      <c r="D470" s="388" t="str">
        <f>IF(op!D403=0,"",op!D403)</f>
        <v/>
      </c>
      <c r="E470" s="388" t="str">
        <f>IF(op!E403=0,"-",op!E403)</f>
        <v/>
      </c>
      <c r="F470" s="684" t="str">
        <f>IF(op!F403="","",op!F403+1)</f>
        <v/>
      </c>
      <c r="G470" s="710" t="str">
        <f>IF(op!G403="","",op!G403)</f>
        <v/>
      </c>
      <c r="H470" s="684" t="str">
        <f>IF(op!H403=0,"",op!H403)</f>
        <v/>
      </c>
      <c r="I470" s="389" t="str">
        <f>IF(J470="","",(IF(op!I403+1&gt;LOOKUP(H470,schaal2019,regels2019),op!I403,op!I403+1)))</f>
        <v/>
      </c>
      <c r="J470" s="711" t="str">
        <f>IF(op!J403="","",op!J403)</f>
        <v/>
      </c>
      <c r="K470" s="472"/>
      <c r="L470" s="1049">
        <f>IF(op!L403="","",op!L403)</f>
        <v>0</v>
      </c>
      <c r="M470" s="1049">
        <f>IF(op!M403="","",op!M403)</f>
        <v>0</v>
      </c>
      <c r="N470" s="1051" t="str">
        <f t="shared" si="167"/>
        <v/>
      </c>
      <c r="O470" s="1051" t="str">
        <f t="shared" si="168"/>
        <v/>
      </c>
      <c r="P470" s="1125" t="str">
        <f t="shared" si="169"/>
        <v/>
      </c>
      <c r="Q470" s="472"/>
      <c r="R470" s="923" t="str">
        <f t="shared" si="184"/>
        <v/>
      </c>
      <c r="S470" s="923" t="str">
        <f t="shared" si="170"/>
        <v/>
      </c>
      <c r="T470" s="925" t="str">
        <f t="shared" si="171"/>
        <v/>
      </c>
      <c r="U470" s="545"/>
      <c r="V470" s="1103"/>
      <c r="W470" s="1103"/>
      <c r="X470" s="1060"/>
      <c r="Y470" s="1095" t="e">
        <f t="shared" si="172"/>
        <v>#VALUE!</v>
      </c>
      <c r="Z470" s="1094">
        <f>tab!$B$50</f>
        <v>0.6</v>
      </c>
      <c r="AA470" s="1126" t="e">
        <f t="shared" si="173"/>
        <v>#VALUE!</v>
      </c>
      <c r="AB470" s="1126" t="e">
        <f t="shared" si="174"/>
        <v>#VALUE!</v>
      </c>
      <c r="AC470" s="1126" t="e">
        <f t="shared" si="175"/>
        <v>#VALUE!</v>
      </c>
      <c r="AD470" s="1128" t="e">
        <f t="shared" si="176"/>
        <v>#VALUE!</v>
      </c>
      <c r="AE470" s="1128">
        <f t="shared" si="177"/>
        <v>0</v>
      </c>
      <c r="AF470" s="1096">
        <f>IF(H470&gt;8,tab!$B$51,tab!$B$54)</f>
        <v>0.5</v>
      </c>
      <c r="AG470" s="1097">
        <f t="shared" si="178"/>
        <v>0</v>
      </c>
      <c r="AH470" s="1093">
        <f t="shared" si="179"/>
        <v>0</v>
      </c>
      <c r="AI470" s="1120" t="e">
        <f>DATE(YEAR(tab!$G$3),MONTH(G470),DAY(G470))&gt;tab!$G$3</f>
        <v>#VALUE!</v>
      </c>
      <c r="AJ470" s="1097" t="e">
        <f t="shared" si="183"/>
        <v>#VALUE!</v>
      </c>
      <c r="AK470" s="1041">
        <f t="shared" si="180"/>
        <v>30</v>
      </c>
      <c r="AL470" s="1041">
        <f t="shared" si="181"/>
        <v>30</v>
      </c>
      <c r="AM470" s="1047">
        <f t="shared" si="182"/>
        <v>0</v>
      </c>
    </row>
    <row r="471" spans="3:39" x14ac:dyDescent="0.3">
      <c r="C471" s="122"/>
      <c r="D471" s="388" t="str">
        <f>IF(op!D404=0,"",op!D404)</f>
        <v/>
      </c>
      <c r="E471" s="388" t="str">
        <f>IF(op!E404=0,"-",op!E404)</f>
        <v/>
      </c>
      <c r="F471" s="684" t="str">
        <f>IF(op!F404="","",op!F404+1)</f>
        <v/>
      </c>
      <c r="G471" s="710" t="str">
        <f>IF(op!G404="","",op!G404)</f>
        <v/>
      </c>
      <c r="H471" s="684" t="str">
        <f>IF(op!H404=0,"",op!H404)</f>
        <v/>
      </c>
      <c r="I471" s="389" t="str">
        <f>IF(J471="","",(IF(op!I404+1&gt;LOOKUP(H471,schaal2019,regels2019),op!I404,op!I404+1)))</f>
        <v/>
      </c>
      <c r="J471" s="711" t="str">
        <f>IF(op!J404="","",op!J404)</f>
        <v/>
      </c>
      <c r="K471" s="472"/>
      <c r="L471" s="1049">
        <f>IF(op!L404="","",op!L404)</f>
        <v>0</v>
      </c>
      <c r="M471" s="1049">
        <f>IF(op!M404="","",op!M404)</f>
        <v>0</v>
      </c>
      <c r="N471" s="1051" t="str">
        <f t="shared" si="167"/>
        <v/>
      </c>
      <c r="O471" s="1051" t="str">
        <f t="shared" si="168"/>
        <v/>
      </c>
      <c r="P471" s="1125" t="str">
        <f t="shared" si="169"/>
        <v/>
      </c>
      <c r="Q471" s="472"/>
      <c r="R471" s="923" t="str">
        <f t="shared" si="184"/>
        <v/>
      </c>
      <c r="S471" s="923" t="str">
        <f t="shared" si="170"/>
        <v/>
      </c>
      <c r="T471" s="925" t="str">
        <f t="shared" si="171"/>
        <v/>
      </c>
      <c r="U471" s="545"/>
      <c r="V471" s="1103"/>
      <c r="W471" s="1103"/>
      <c r="X471" s="1060"/>
      <c r="Y471" s="1095" t="e">
        <f t="shared" si="172"/>
        <v>#VALUE!</v>
      </c>
      <c r="Z471" s="1094">
        <f>tab!$B$50</f>
        <v>0.6</v>
      </c>
      <c r="AA471" s="1126" t="e">
        <f t="shared" si="173"/>
        <v>#VALUE!</v>
      </c>
      <c r="AB471" s="1126" t="e">
        <f t="shared" si="174"/>
        <v>#VALUE!</v>
      </c>
      <c r="AC471" s="1126" t="e">
        <f t="shared" si="175"/>
        <v>#VALUE!</v>
      </c>
      <c r="AD471" s="1128" t="e">
        <f t="shared" si="176"/>
        <v>#VALUE!</v>
      </c>
      <c r="AE471" s="1128">
        <f t="shared" si="177"/>
        <v>0</v>
      </c>
      <c r="AF471" s="1096">
        <f>IF(H471&gt;8,tab!$B$51,tab!$B$54)</f>
        <v>0.5</v>
      </c>
      <c r="AG471" s="1097">
        <f t="shared" si="178"/>
        <v>0</v>
      </c>
      <c r="AH471" s="1093">
        <f t="shared" si="179"/>
        <v>0</v>
      </c>
      <c r="AI471" s="1120" t="e">
        <f>DATE(YEAR(tab!$G$3),MONTH(G471),DAY(G471))&gt;tab!$G$3</f>
        <v>#VALUE!</v>
      </c>
      <c r="AJ471" s="1097" t="e">
        <f t="shared" si="183"/>
        <v>#VALUE!</v>
      </c>
      <c r="AK471" s="1041">
        <f t="shared" si="180"/>
        <v>30</v>
      </c>
      <c r="AL471" s="1041">
        <f t="shared" si="181"/>
        <v>30</v>
      </c>
      <c r="AM471" s="1047">
        <f t="shared" si="182"/>
        <v>0</v>
      </c>
    </row>
    <row r="472" spans="3:39" x14ac:dyDescent="0.3">
      <c r="C472" s="122"/>
      <c r="D472" s="388" t="str">
        <f>IF(op!D405=0,"",op!D405)</f>
        <v/>
      </c>
      <c r="E472" s="388" t="str">
        <f>IF(op!E405=0,"-",op!E405)</f>
        <v/>
      </c>
      <c r="F472" s="684" t="str">
        <f>IF(op!F405="","",op!F405+1)</f>
        <v/>
      </c>
      <c r="G472" s="710" t="str">
        <f>IF(op!G405="","",op!G405)</f>
        <v/>
      </c>
      <c r="H472" s="684" t="str">
        <f>IF(op!H405=0,"",op!H405)</f>
        <v/>
      </c>
      <c r="I472" s="389" t="str">
        <f>IF(J472="","",(IF(op!I405+1&gt;LOOKUP(H472,schaal2019,regels2019),op!I405,op!I405+1)))</f>
        <v/>
      </c>
      <c r="J472" s="711" t="str">
        <f>IF(op!J405="","",op!J405)</f>
        <v/>
      </c>
      <c r="K472" s="472"/>
      <c r="L472" s="1049">
        <f>IF(op!L405="","",op!L405)</f>
        <v>0</v>
      </c>
      <c r="M472" s="1049">
        <f>IF(op!M405="","",op!M405)</f>
        <v>0</v>
      </c>
      <c r="N472" s="1051" t="str">
        <f t="shared" si="167"/>
        <v/>
      </c>
      <c r="O472" s="1051" t="str">
        <f t="shared" si="168"/>
        <v/>
      </c>
      <c r="P472" s="1125" t="str">
        <f t="shared" si="169"/>
        <v/>
      </c>
      <c r="Q472" s="472"/>
      <c r="R472" s="923" t="str">
        <f t="shared" si="184"/>
        <v/>
      </c>
      <c r="S472" s="923" t="str">
        <f t="shared" si="170"/>
        <v/>
      </c>
      <c r="T472" s="925" t="str">
        <f t="shared" si="171"/>
        <v/>
      </c>
      <c r="U472" s="545"/>
      <c r="V472" s="1103"/>
      <c r="W472" s="1103"/>
      <c r="X472" s="1060"/>
      <c r="Y472" s="1095" t="e">
        <f t="shared" si="172"/>
        <v>#VALUE!</v>
      </c>
      <c r="Z472" s="1094">
        <f>tab!$B$50</f>
        <v>0.6</v>
      </c>
      <c r="AA472" s="1126" t="e">
        <f t="shared" si="173"/>
        <v>#VALUE!</v>
      </c>
      <c r="AB472" s="1126" t="e">
        <f t="shared" si="174"/>
        <v>#VALUE!</v>
      </c>
      <c r="AC472" s="1126" t="e">
        <f t="shared" si="175"/>
        <v>#VALUE!</v>
      </c>
      <c r="AD472" s="1128" t="e">
        <f t="shared" si="176"/>
        <v>#VALUE!</v>
      </c>
      <c r="AE472" s="1128">
        <f t="shared" si="177"/>
        <v>0</v>
      </c>
      <c r="AF472" s="1096">
        <f>IF(H472&gt;8,tab!$B$51,tab!$B$54)</f>
        <v>0.5</v>
      </c>
      <c r="AG472" s="1097">
        <f t="shared" si="178"/>
        <v>0</v>
      </c>
      <c r="AH472" s="1093">
        <f t="shared" si="179"/>
        <v>0</v>
      </c>
      <c r="AI472" s="1120" t="e">
        <f>DATE(YEAR(tab!$G$3),MONTH(G472),DAY(G472))&gt;tab!$G$3</f>
        <v>#VALUE!</v>
      </c>
      <c r="AJ472" s="1097" t="e">
        <f t="shared" si="183"/>
        <v>#VALUE!</v>
      </c>
      <c r="AK472" s="1041">
        <f t="shared" si="180"/>
        <v>30</v>
      </c>
      <c r="AL472" s="1041">
        <f t="shared" si="181"/>
        <v>30</v>
      </c>
      <c r="AM472" s="1047">
        <f t="shared" si="182"/>
        <v>0</v>
      </c>
    </row>
    <row r="473" spans="3:39" x14ac:dyDescent="0.3">
      <c r="C473" s="122"/>
      <c r="D473" s="388" t="str">
        <f>IF(op!D406=0,"",op!D406)</f>
        <v/>
      </c>
      <c r="E473" s="388" t="str">
        <f>IF(op!E406=0,"-",op!E406)</f>
        <v/>
      </c>
      <c r="F473" s="684" t="str">
        <f>IF(op!F406="","",op!F406+1)</f>
        <v/>
      </c>
      <c r="G473" s="710" t="str">
        <f>IF(op!G406="","",op!G406)</f>
        <v/>
      </c>
      <c r="H473" s="684" t="str">
        <f>IF(op!H406=0,"",op!H406)</f>
        <v/>
      </c>
      <c r="I473" s="389" t="str">
        <f>IF(J473="","",(IF(op!I406+1&gt;LOOKUP(H473,schaal2019,regels2019),op!I406,op!I406+1)))</f>
        <v/>
      </c>
      <c r="J473" s="711" t="str">
        <f>IF(op!J406="","",op!J406)</f>
        <v/>
      </c>
      <c r="K473" s="472"/>
      <c r="L473" s="1049">
        <f>IF(op!L406="","",op!L406)</f>
        <v>0</v>
      </c>
      <c r="M473" s="1049">
        <f>IF(op!M406="","",op!M406)</f>
        <v>0</v>
      </c>
      <c r="N473" s="1051" t="str">
        <f t="shared" si="167"/>
        <v/>
      </c>
      <c r="O473" s="1051" t="str">
        <f t="shared" si="168"/>
        <v/>
      </c>
      <c r="P473" s="1125" t="str">
        <f t="shared" si="169"/>
        <v/>
      </c>
      <c r="Q473" s="472"/>
      <c r="R473" s="923" t="str">
        <f t="shared" si="184"/>
        <v/>
      </c>
      <c r="S473" s="923" t="str">
        <f t="shared" si="170"/>
        <v/>
      </c>
      <c r="T473" s="925" t="str">
        <f t="shared" si="171"/>
        <v/>
      </c>
      <c r="U473" s="545"/>
      <c r="V473" s="1103"/>
      <c r="W473" s="1103"/>
      <c r="X473" s="1060"/>
      <c r="Y473" s="1095" t="e">
        <f t="shared" si="172"/>
        <v>#VALUE!</v>
      </c>
      <c r="Z473" s="1094">
        <f>tab!$B$50</f>
        <v>0.6</v>
      </c>
      <c r="AA473" s="1126" t="e">
        <f t="shared" si="173"/>
        <v>#VALUE!</v>
      </c>
      <c r="AB473" s="1126" t="e">
        <f t="shared" si="174"/>
        <v>#VALUE!</v>
      </c>
      <c r="AC473" s="1126" t="e">
        <f t="shared" si="175"/>
        <v>#VALUE!</v>
      </c>
      <c r="AD473" s="1128" t="e">
        <f t="shared" si="176"/>
        <v>#VALUE!</v>
      </c>
      <c r="AE473" s="1128">
        <f t="shared" si="177"/>
        <v>0</v>
      </c>
      <c r="AF473" s="1096">
        <f>IF(H473&gt;8,tab!$B$51,tab!$B$54)</f>
        <v>0.5</v>
      </c>
      <c r="AG473" s="1097">
        <f t="shared" si="178"/>
        <v>0</v>
      </c>
      <c r="AH473" s="1093">
        <f t="shared" si="179"/>
        <v>0</v>
      </c>
      <c r="AI473" s="1120" t="e">
        <f>DATE(YEAR(tab!$G$3),MONTH(G473),DAY(G473))&gt;tab!$G$3</f>
        <v>#VALUE!</v>
      </c>
      <c r="AJ473" s="1097" t="e">
        <f t="shared" si="183"/>
        <v>#VALUE!</v>
      </c>
      <c r="AK473" s="1041">
        <f t="shared" si="180"/>
        <v>30</v>
      </c>
      <c r="AL473" s="1041">
        <f t="shared" si="181"/>
        <v>30</v>
      </c>
      <c r="AM473" s="1047">
        <f t="shared" si="182"/>
        <v>0</v>
      </c>
    </row>
    <row r="474" spans="3:39" x14ac:dyDescent="0.3">
      <c r="C474" s="122"/>
      <c r="D474" s="388" t="str">
        <f>IF(op!D407=0,"",op!D407)</f>
        <v/>
      </c>
      <c r="E474" s="388" t="str">
        <f>IF(op!E407=0,"-",op!E407)</f>
        <v/>
      </c>
      <c r="F474" s="684" t="str">
        <f>IF(op!F407="","",op!F407+1)</f>
        <v/>
      </c>
      <c r="G474" s="710" t="str">
        <f>IF(op!G407="","",op!G407)</f>
        <v/>
      </c>
      <c r="H474" s="684" t="str">
        <f>IF(op!H407=0,"",op!H407)</f>
        <v/>
      </c>
      <c r="I474" s="389" t="str">
        <f>IF(J474="","",(IF(op!I407+1&gt;LOOKUP(H474,schaal2019,regels2019),op!I407,op!I407+1)))</f>
        <v/>
      </c>
      <c r="J474" s="711" t="str">
        <f>IF(op!J407="","",op!J407)</f>
        <v/>
      </c>
      <c r="K474" s="472"/>
      <c r="L474" s="1049">
        <f>IF(op!L407="","",op!L407)</f>
        <v>0</v>
      </c>
      <c r="M474" s="1049">
        <f>IF(op!M407="","",op!M407)</f>
        <v>0</v>
      </c>
      <c r="N474" s="1051" t="str">
        <f t="shared" si="167"/>
        <v/>
      </c>
      <c r="O474" s="1051" t="str">
        <f t="shared" si="168"/>
        <v/>
      </c>
      <c r="P474" s="1125" t="str">
        <f t="shared" si="169"/>
        <v/>
      </c>
      <c r="Q474" s="472"/>
      <c r="R474" s="923" t="str">
        <f t="shared" si="184"/>
        <v/>
      </c>
      <c r="S474" s="923" t="str">
        <f t="shared" si="170"/>
        <v/>
      </c>
      <c r="T474" s="925" t="str">
        <f t="shared" si="171"/>
        <v/>
      </c>
      <c r="U474" s="545"/>
      <c r="V474" s="1103"/>
      <c r="W474" s="1103"/>
      <c r="X474" s="1060"/>
      <c r="Y474" s="1095" t="e">
        <f t="shared" si="172"/>
        <v>#VALUE!</v>
      </c>
      <c r="Z474" s="1094">
        <f>tab!$B$50</f>
        <v>0.6</v>
      </c>
      <c r="AA474" s="1126" t="e">
        <f t="shared" si="173"/>
        <v>#VALUE!</v>
      </c>
      <c r="AB474" s="1126" t="e">
        <f t="shared" si="174"/>
        <v>#VALUE!</v>
      </c>
      <c r="AC474" s="1126" t="e">
        <f t="shared" si="175"/>
        <v>#VALUE!</v>
      </c>
      <c r="AD474" s="1128" t="e">
        <f t="shared" si="176"/>
        <v>#VALUE!</v>
      </c>
      <c r="AE474" s="1128">
        <f t="shared" si="177"/>
        <v>0</v>
      </c>
      <c r="AF474" s="1096">
        <f>IF(H474&gt;8,tab!$B$51,tab!$B$54)</f>
        <v>0.5</v>
      </c>
      <c r="AG474" s="1097">
        <f t="shared" si="178"/>
        <v>0</v>
      </c>
      <c r="AH474" s="1093">
        <f t="shared" si="179"/>
        <v>0</v>
      </c>
      <c r="AI474" s="1120" t="e">
        <f>DATE(YEAR(tab!$G$3),MONTH(G474),DAY(G474))&gt;tab!$G$3</f>
        <v>#VALUE!</v>
      </c>
      <c r="AJ474" s="1097" t="e">
        <f t="shared" si="183"/>
        <v>#VALUE!</v>
      </c>
      <c r="AK474" s="1041">
        <f t="shared" si="180"/>
        <v>30</v>
      </c>
      <c r="AL474" s="1041">
        <f t="shared" si="181"/>
        <v>30</v>
      </c>
      <c r="AM474" s="1047">
        <f t="shared" si="182"/>
        <v>0</v>
      </c>
    </row>
    <row r="475" spans="3:39" x14ac:dyDescent="0.3">
      <c r="C475" s="447"/>
      <c r="D475" s="551"/>
      <c r="E475" s="713"/>
      <c r="F475" s="713"/>
      <c r="G475" s="714"/>
      <c r="H475" s="713"/>
      <c r="I475" s="715"/>
      <c r="J475" s="958">
        <f>SUM(J420:J474)</f>
        <v>1</v>
      </c>
      <c r="L475" s="1050">
        <f t="shared" ref="L475:M475" si="185">SUM(L420:L474)</f>
        <v>0</v>
      </c>
      <c r="M475" s="1050">
        <f t="shared" si="185"/>
        <v>0</v>
      </c>
      <c r="N475" s="1050">
        <f>SUM(N420:N474)</f>
        <v>40</v>
      </c>
      <c r="O475" s="1050">
        <f t="shared" ref="O475:P475" si="186">SUM(O420:O474)</f>
        <v>0</v>
      </c>
      <c r="P475" s="1050">
        <f t="shared" si="186"/>
        <v>40</v>
      </c>
      <c r="R475" s="959">
        <f t="shared" ref="R475:T475" si="187">SUM(R420:R474)</f>
        <v>84953.877757685361</v>
      </c>
      <c r="S475" s="960">
        <f t="shared" si="187"/>
        <v>2098.9222423146475</v>
      </c>
      <c r="T475" s="959">
        <f t="shared" si="187"/>
        <v>87052.800000000003</v>
      </c>
      <c r="U475" s="450"/>
      <c r="V475" s="1063"/>
      <c r="W475" s="1063"/>
      <c r="Y475" s="1098"/>
      <c r="Z475" s="1130"/>
      <c r="AA475" s="1098"/>
      <c r="AB475" s="1098"/>
      <c r="AC475" s="1098"/>
      <c r="AG475" s="1099">
        <f>SUM(AG420:AG474)</f>
        <v>0</v>
      </c>
      <c r="AH475" s="1100">
        <f>SUM(AH420:AH474)</f>
        <v>0</v>
      </c>
      <c r="AI475" s="1121"/>
      <c r="AJ475" s="1121"/>
    </row>
  </sheetData>
  <sheetProtection algorithmName="SHA-512" hashValue="JesSNtNJBQJ0nEqO6MZ+GjzYalSJGcf+THQq81nBPrXbIdWUrTQoSmf9UN9zK0Dy6NkP7pWyvpycI0B4UPxLag==" saltValue="vDjNp2uE3v4Zs6shekXmYw==" spinCount="100000" sheet="1" objects="1" scenarios="1"/>
  <phoneticPr fontId="0" type="noConversion"/>
  <dataValidations count="2">
    <dataValidation type="list" allowBlank="1" showInputMessage="1" showErrorMessage="1" sqref="H286:H340 H16:H70 H73:H78 H84:H138 H152:H206 H219:H273 H353:H407 H420:H474" xr:uid="{00000000-0002-0000-0400-000000000000}">
      <formula1>"L10,L11,L12,L13,L14"</formula1>
    </dataValidation>
    <dataValidation type="whole" allowBlank="1" showInputMessage="1" showErrorMessage="1" sqref="I16:I70" xr:uid="{00000000-0002-0000-0400-000001000000}">
      <formula1>1</formula1>
      <formula2>16</formula2>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73" min="1" max="2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8"/>
  <dimension ref="B1:AP349"/>
  <sheetViews>
    <sheetView showGridLines="0" zoomScaleNormal="100" workbookViewId="0">
      <pane ySplit="15" topLeftCell="A16" activePane="bottomLeft" state="frozen"/>
      <selection activeCell="AA31" sqref="AA31"/>
      <selection pane="bottomLeft" activeCell="E22" sqref="E22"/>
    </sheetView>
  </sheetViews>
  <sheetFormatPr defaultColWidth="9.109375" defaultRowHeight="13.8" x14ac:dyDescent="0.3"/>
  <cols>
    <col min="1" max="1" width="3.6640625" style="8" customWidth="1"/>
    <col min="2" max="3" width="2.6640625" style="8" customWidth="1"/>
    <col min="4" max="4" width="9.109375" style="15" customWidth="1"/>
    <col min="5" max="5" width="21.109375" style="15" customWidth="1"/>
    <col min="6" max="7" width="8.6640625" style="16" customWidth="1"/>
    <col min="8" max="9" width="8.6640625" style="270" customWidth="1"/>
    <col min="10" max="10" width="8.6640625" style="18" customWidth="1"/>
    <col min="11" max="11" width="0.88671875" style="8" customWidth="1"/>
    <col min="12" max="13" width="10.88671875" style="270" customWidth="1"/>
    <col min="14" max="14" width="10.88671875" style="18" customWidth="1"/>
    <col min="15" max="15" width="10.88671875" style="270" hidden="1" customWidth="1"/>
    <col min="16" max="16" width="10.88671875" style="270" customWidth="1"/>
    <col min="17" max="17" width="0.88671875" style="8" customWidth="1"/>
    <col min="18" max="18" width="10.88671875" style="8" customWidth="1"/>
    <col min="19" max="19" width="10.88671875" style="153" customWidth="1"/>
    <col min="20" max="20" width="10.88671875" style="534" customWidth="1"/>
    <col min="21" max="22" width="2.6640625" style="8" customWidth="1"/>
    <col min="23" max="23" width="13.33203125" style="8" customWidth="1"/>
    <col min="24" max="24" width="14.5546875" style="8" customWidth="1"/>
    <col min="25" max="25" width="9.6640625" style="1065" customWidth="1"/>
    <col min="26" max="29" width="10.88671875" style="1063" customWidth="1"/>
    <col min="30" max="30" width="8.6640625" style="1063" customWidth="1"/>
    <col min="31" max="31" width="8.6640625" style="1066" customWidth="1"/>
    <col min="32" max="32" width="8.6640625" style="1067" customWidth="1"/>
    <col min="33" max="33" width="8.6640625" style="1068" customWidth="1"/>
    <col min="34" max="34" width="8.6640625" style="1069" customWidth="1"/>
    <col min="35" max="36" width="8.6640625" style="1063" customWidth="1"/>
    <col min="37" max="38" width="8.6640625" style="8" customWidth="1"/>
    <col min="39" max="39" width="8.6640625" style="16" customWidth="1"/>
    <col min="40" max="40" width="8.6640625" style="272" customWidth="1"/>
    <col min="41" max="47" width="8.6640625" style="8" customWidth="1"/>
    <col min="48" max="52" width="9.33203125" style="8" bestFit="1" customWidth="1"/>
    <col min="53" max="16384" width="9.109375" style="8"/>
  </cols>
  <sheetData>
    <row r="1" spans="2:42" ht="12.75" customHeight="1" x14ac:dyDescent="0.3"/>
    <row r="2" spans="2:42" x14ac:dyDescent="0.3">
      <c r="B2" s="637"/>
      <c r="C2" s="155"/>
      <c r="D2" s="638"/>
      <c r="E2" s="638"/>
      <c r="F2" s="639"/>
      <c r="G2" s="639"/>
      <c r="H2" s="640"/>
      <c r="I2" s="640"/>
      <c r="J2" s="641"/>
      <c r="K2" s="155"/>
      <c r="L2" s="640"/>
      <c r="M2" s="640"/>
      <c r="N2" s="641"/>
      <c r="O2" s="640"/>
      <c r="P2" s="640"/>
      <c r="Q2" s="155"/>
      <c r="R2" s="155"/>
      <c r="S2" s="642"/>
      <c r="T2" s="775"/>
      <c r="U2" s="155"/>
      <c r="V2" s="643"/>
      <c r="Y2" s="1104"/>
      <c r="Z2" s="1105"/>
      <c r="AA2" s="1105"/>
      <c r="AB2" s="1105"/>
      <c r="AC2" s="1105"/>
      <c r="AG2" s="1099"/>
      <c r="AH2" s="1100"/>
    </row>
    <row r="3" spans="2:42" x14ac:dyDescent="0.3">
      <c r="B3" s="89"/>
      <c r="C3" s="69"/>
      <c r="D3" s="197"/>
      <c r="E3" s="197"/>
      <c r="F3" s="644"/>
      <c r="G3" s="644"/>
      <c r="H3" s="645"/>
      <c r="I3" s="645"/>
      <c r="J3" s="646"/>
      <c r="K3" s="69"/>
      <c r="L3" s="645"/>
      <c r="M3" s="645"/>
      <c r="N3" s="646"/>
      <c r="O3" s="645"/>
      <c r="P3" s="645"/>
      <c r="Q3" s="69"/>
      <c r="R3" s="69"/>
      <c r="S3" s="343"/>
      <c r="T3" s="776"/>
      <c r="U3" s="69"/>
      <c r="V3" s="188"/>
      <c r="Y3" s="1104"/>
      <c r="Z3" s="1105"/>
      <c r="AA3" s="1105"/>
      <c r="AB3" s="1105"/>
      <c r="AC3" s="1105"/>
      <c r="AG3" s="1099"/>
      <c r="AH3" s="1100"/>
    </row>
    <row r="4" spans="2:42" s="676" customFormat="1" ht="18" x14ac:dyDescent="0.35">
      <c r="B4" s="853"/>
      <c r="C4" s="833" t="s">
        <v>448</v>
      </c>
      <c r="D4" s="854"/>
      <c r="E4" s="854"/>
      <c r="F4" s="855"/>
      <c r="G4" s="855"/>
      <c r="H4" s="856"/>
      <c r="I4" s="856"/>
      <c r="J4" s="857"/>
      <c r="K4" s="854"/>
      <c r="L4" s="856"/>
      <c r="M4" s="856"/>
      <c r="N4" s="857"/>
      <c r="O4" s="856"/>
      <c r="P4" s="856"/>
      <c r="Q4" s="854"/>
      <c r="R4" s="854"/>
      <c r="S4" s="858"/>
      <c r="T4" s="859"/>
      <c r="U4" s="854"/>
      <c r="V4" s="860"/>
      <c r="Y4" s="1070"/>
      <c r="Z4" s="1071"/>
      <c r="AA4" s="1071"/>
      <c r="AB4" s="1071"/>
      <c r="AC4" s="1071"/>
      <c r="AD4" s="1071"/>
      <c r="AE4" s="1072"/>
      <c r="AF4" s="1073"/>
      <c r="AG4" s="1074"/>
      <c r="AH4" s="1073"/>
      <c r="AI4" s="1072"/>
      <c r="AJ4" s="1106"/>
      <c r="AK4" s="678"/>
      <c r="AL4" s="679"/>
      <c r="AM4" s="680"/>
      <c r="AN4" s="677"/>
    </row>
    <row r="5" spans="2:42" s="278" customFormat="1" ht="18" x14ac:dyDescent="0.35">
      <c r="B5" s="647"/>
      <c r="C5" s="319" t="str">
        <f>geg!F11</f>
        <v>Voorbeeldschool</v>
      </c>
      <c r="D5" s="326"/>
      <c r="E5" s="326"/>
      <c r="F5" s="322"/>
      <c r="G5" s="322"/>
      <c r="H5" s="324"/>
      <c r="I5" s="324"/>
      <c r="J5" s="325"/>
      <c r="K5" s="326"/>
      <c r="L5" s="324"/>
      <c r="M5" s="324"/>
      <c r="N5" s="325"/>
      <c r="O5" s="324"/>
      <c r="P5" s="324"/>
      <c r="Q5" s="326"/>
      <c r="R5" s="326"/>
      <c r="S5" s="327"/>
      <c r="T5" s="777"/>
      <c r="U5" s="326"/>
      <c r="V5" s="328"/>
      <c r="Y5" s="1070"/>
      <c r="Z5" s="1071"/>
      <c r="AA5" s="1071"/>
      <c r="AB5" s="1071"/>
      <c r="AC5" s="1071"/>
      <c r="AD5" s="1071"/>
      <c r="AE5" s="1072"/>
      <c r="AF5" s="1073"/>
      <c r="AG5" s="1074"/>
      <c r="AH5" s="1073"/>
      <c r="AI5" s="1072"/>
      <c r="AJ5" s="1106"/>
      <c r="AK5" s="279"/>
      <c r="AL5" s="281"/>
      <c r="AM5" s="282"/>
      <c r="AN5" s="280"/>
    </row>
    <row r="6" spans="2:42" ht="12.75" customHeight="1" x14ac:dyDescent="0.3">
      <c r="B6" s="89"/>
      <c r="C6" s="69"/>
      <c r="D6" s="69"/>
      <c r="E6" s="69"/>
      <c r="F6" s="644"/>
      <c r="G6" s="644"/>
      <c r="H6" s="645"/>
      <c r="I6" s="645"/>
      <c r="J6" s="646"/>
      <c r="K6" s="69"/>
      <c r="L6" s="645"/>
      <c r="M6" s="645"/>
      <c r="N6" s="646"/>
      <c r="O6" s="645"/>
      <c r="P6" s="645"/>
      <c r="Q6" s="69"/>
      <c r="R6" s="69"/>
      <c r="S6" s="343"/>
      <c r="T6" s="776"/>
      <c r="U6" s="69"/>
      <c r="V6" s="188"/>
      <c r="Y6" s="1104"/>
      <c r="Z6" s="1105"/>
      <c r="AA6" s="1105"/>
      <c r="AB6" s="1105"/>
      <c r="AC6" s="1105"/>
      <c r="AE6" s="1077"/>
      <c r="AF6" s="1078"/>
      <c r="AG6" s="1099"/>
      <c r="AH6" s="1100"/>
      <c r="AI6" s="1077"/>
      <c r="AJ6" s="1089"/>
      <c r="AK6" s="270"/>
      <c r="AL6" s="271"/>
      <c r="AM6" s="283"/>
      <c r="AN6" s="18"/>
    </row>
    <row r="7" spans="2:42" ht="12.75" customHeight="1" x14ac:dyDescent="0.3">
      <c r="B7" s="89"/>
      <c r="C7" s="69"/>
      <c r="D7" s="69"/>
      <c r="E7" s="69"/>
      <c r="F7" s="644"/>
      <c r="G7" s="644"/>
      <c r="H7" s="645"/>
      <c r="I7" s="645"/>
      <c r="J7" s="646"/>
      <c r="K7" s="69"/>
      <c r="L7" s="645"/>
      <c r="M7" s="645"/>
      <c r="N7" s="646"/>
      <c r="O7" s="645"/>
      <c r="P7" s="645"/>
      <c r="Q7" s="69"/>
      <c r="R7" s="69"/>
      <c r="S7" s="343"/>
      <c r="T7" s="776"/>
      <c r="U7" s="69"/>
      <c r="V7" s="188"/>
      <c r="Y7" s="1104"/>
      <c r="Z7" s="1105"/>
      <c r="AA7" s="1105"/>
      <c r="AB7" s="1105"/>
      <c r="AC7" s="1105"/>
      <c r="AE7" s="1077"/>
      <c r="AF7" s="1078"/>
      <c r="AG7" s="1099"/>
      <c r="AH7" s="1100"/>
      <c r="AI7" s="1077"/>
      <c r="AJ7" s="1089"/>
      <c r="AK7" s="270"/>
      <c r="AL7" s="271"/>
      <c r="AM7" s="283"/>
      <c r="AN7" s="18"/>
    </row>
    <row r="8" spans="2:42" s="284" customFormat="1" ht="12.75" customHeight="1" x14ac:dyDescent="0.3">
      <c r="B8" s="648"/>
      <c r="C8" s="62" t="s">
        <v>180</v>
      </c>
      <c r="D8" s="78"/>
      <c r="E8" s="339" t="str">
        <f>op!E8</f>
        <v>2020/21</v>
      </c>
      <c r="F8" s="333"/>
      <c r="G8" s="333"/>
      <c r="H8" s="649"/>
      <c r="I8" s="649"/>
      <c r="J8" s="650"/>
      <c r="K8" s="158"/>
      <c r="L8" s="649"/>
      <c r="M8" s="649"/>
      <c r="N8" s="650"/>
      <c r="O8" s="649"/>
      <c r="P8" s="649"/>
      <c r="Q8" s="158"/>
      <c r="R8" s="158"/>
      <c r="S8" s="651"/>
      <c r="T8" s="652"/>
      <c r="U8" s="158"/>
      <c r="V8" s="653"/>
      <c r="Y8" s="1107"/>
      <c r="Z8" s="1108"/>
      <c r="AA8" s="1108"/>
      <c r="AB8" s="1108"/>
      <c r="AC8" s="1108"/>
      <c r="AD8" s="1082"/>
      <c r="AE8" s="1083"/>
      <c r="AF8" s="1084"/>
      <c r="AG8" s="1109"/>
      <c r="AH8" s="1110"/>
      <c r="AI8" s="1083"/>
      <c r="AJ8" s="1111"/>
      <c r="AK8" s="285"/>
      <c r="AL8" s="287"/>
      <c r="AM8" s="288"/>
      <c r="AN8" s="286"/>
    </row>
    <row r="9" spans="2:42" ht="12.75" customHeight="1" x14ac:dyDescent="0.3">
      <c r="B9" s="89"/>
      <c r="C9" s="62" t="s">
        <v>193</v>
      </c>
      <c r="D9" s="78"/>
      <c r="E9" s="339">
        <f>op!E9</f>
        <v>44105</v>
      </c>
      <c r="F9" s="64"/>
      <c r="G9" s="64"/>
      <c r="H9" s="645"/>
      <c r="I9" s="645"/>
      <c r="J9" s="646"/>
      <c r="K9" s="69"/>
      <c r="L9" s="645"/>
      <c r="M9" s="645"/>
      <c r="N9" s="646"/>
      <c r="O9" s="645"/>
      <c r="P9" s="645"/>
      <c r="Q9" s="69"/>
      <c r="R9" s="69"/>
      <c r="S9" s="343"/>
      <c r="T9" s="776"/>
      <c r="U9" s="69"/>
      <c r="V9" s="188"/>
      <c r="Y9" s="1104"/>
      <c r="Z9" s="1105"/>
      <c r="AA9" s="1105"/>
      <c r="AB9" s="1105"/>
      <c r="AC9" s="1105"/>
      <c r="AE9" s="1077"/>
      <c r="AF9" s="1078"/>
      <c r="AG9" s="1099"/>
      <c r="AH9" s="1100"/>
      <c r="AI9" s="1077"/>
      <c r="AJ9" s="1089"/>
      <c r="AK9" s="270"/>
      <c r="AL9" s="271"/>
      <c r="AM9" s="283"/>
      <c r="AN9" s="18"/>
    </row>
    <row r="10" spans="2:42" ht="12.75" customHeight="1" x14ac:dyDescent="0.3">
      <c r="B10" s="89"/>
      <c r="C10" s="69"/>
      <c r="D10" s="341"/>
      <c r="E10" s="654"/>
      <c r="F10" s="49" t="s">
        <v>636</v>
      </c>
      <c r="G10" s="64"/>
      <c r="H10" s="645"/>
      <c r="I10" s="645"/>
      <c r="J10" s="646"/>
      <c r="K10" s="69"/>
      <c r="L10" s="645"/>
      <c r="M10" s="645"/>
      <c r="N10" s="646"/>
      <c r="O10" s="645"/>
      <c r="P10" s="645"/>
      <c r="Q10" s="69"/>
      <c r="R10" s="69"/>
      <c r="S10" s="343"/>
      <c r="T10" s="776"/>
      <c r="U10" s="69"/>
      <c r="V10" s="188"/>
      <c r="Y10" s="1104"/>
      <c r="Z10" s="1105"/>
      <c r="AA10" s="1105"/>
      <c r="AB10" s="1105"/>
      <c r="AC10" s="1105"/>
      <c r="AE10" s="1077"/>
      <c r="AF10" s="1078"/>
      <c r="AG10" s="1099"/>
      <c r="AH10" s="1100"/>
      <c r="AI10" s="1077"/>
      <c r="AJ10" s="1089"/>
      <c r="AK10" s="270"/>
      <c r="AL10" s="271"/>
      <c r="AM10" s="283"/>
      <c r="AN10" s="18"/>
    </row>
    <row r="11" spans="2:42" ht="12.75" customHeight="1" x14ac:dyDescent="0.3">
      <c r="B11" s="61"/>
      <c r="C11" s="163"/>
      <c r="D11" s="961"/>
      <c r="E11" s="927"/>
      <c r="F11" s="928"/>
      <c r="G11" s="929"/>
      <c r="H11" s="930"/>
      <c r="I11" s="930"/>
      <c r="J11" s="931"/>
      <c r="K11" s="932"/>
      <c r="L11" s="930"/>
      <c r="M11" s="930"/>
      <c r="N11" s="931"/>
      <c r="O11" s="930"/>
      <c r="P11" s="930"/>
      <c r="Q11" s="932"/>
      <c r="R11" s="932"/>
      <c r="S11" s="933"/>
      <c r="T11" s="934"/>
      <c r="U11" s="109"/>
      <c r="V11" s="65"/>
      <c r="AE11" s="1077"/>
      <c r="AF11" s="1078"/>
      <c r="AI11" s="1077"/>
      <c r="AJ11" s="1089"/>
      <c r="AK11" s="270"/>
      <c r="AL11" s="271"/>
      <c r="AM11" s="283"/>
      <c r="AN11" s="18"/>
    </row>
    <row r="12" spans="2:42" s="129" customFormat="1" ht="12.75" customHeight="1" x14ac:dyDescent="0.3">
      <c r="B12" s="134"/>
      <c r="C12" s="382"/>
      <c r="D12" s="1033" t="s">
        <v>285</v>
      </c>
      <c r="E12" s="1033"/>
      <c r="F12" s="1033"/>
      <c r="G12" s="1033"/>
      <c r="H12" s="1033"/>
      <c r="I12" s="1033"/>
      <c r="J12" s="1033"/>
      <c r="K12" s="1034"/>
      <c r="L12" s="1033" t="s">
        <v>502</v>
      </c>
      <c r="M12" s="1035"/>
      <c r="N12" s="1033"/>
      <c r="O12" s="1033"/>
      <c r="P12" s="1133"/>
      <c r="Q12" s="902"/>
      <c r="R12" s="1033" t="s">
        <v>503</v>
      </c>
      <c r="S12" s="1036"/>
      <c r="T12" s="1134"/>
      <c r="U12" s="1135"/>
      <c r="V12" s="383"/>
      <c r="W12" s="384"/>
      <c r="X12" s="384"/>
      <c r="Y12" s="1063"/>
      <c r="Z12" s="1136"/>
      <c r="AA12" s="1063"/>
      <c r="AB12" s="1063"/>
      <c r="AC12" s="1063"/>
      <c r="AD12" s="1137"/>
      <c r="AE12" s="1137"/>
      <c r="AF12" s="1136"/>
      <c r="AG12" s="1090"/>
      <c r="AH12" s="1091"/>
      <c r="AI12" s="1063"/>
      <c r="AJ12" s="1063"/>
      <c r="AO12" s="384"/>
      <c r="AP12" s="384"/>
    </row>
    <row r="13" spans="2:42" s="129" customFormat="1" ht="12.75" customHeight="1" x14ac:dyDescent="0.3">
      <c r="B13" s="134"/>
      <c r="C13" s="382"/>
      <c r="D13" s="903" t="s">
        <v>494</v>
      </c>
      <c r="E13" s="877" t="s">
        <v>181</v>
      </c>
      <c r="F13" s="904" t="s">
        <v>137</v>
      </c>
      <c r="G13" s="905" t="s">
        <v>273</v>
      </c>
      <c r="H13" s="904" t="s">
        <v>206</v>
      </c>
      <c r="I13" s="904" t="s">
        <v>225</v>
      </c>
      <c r="J13" s="906" t="s">
        <v>140</v>
      </c>
      <c r="K13" s="914"/>
      <c r="L13" s="907" t="s">
        <v>479</v>
      </c>
      <c r="M13" s="907" t="s">
        <v>480</v>
      </c>
      <c r="N13" s="907" t="s">
        <v>478</v>
      </c>
      <c r="O13" s="907" t="s">
        <v>479</v>
      </c>
      <c r="P13" s="1138" t="s">
        <v>504</v>
      </c>
      <c r="Q13" s="881"/>
      <c r="R13" s="1037" t="s">
        <v>192</v>
      </c>
      <c r="S13" s="909" t="s">
        <v>505</v>
      </c>
      <c r="T13" s="910" t="s">
        <v>192</v>
      </c>
      <c r="U13" s="1139"/>
      <c r="V13" s="385"/>
      <c r="W13" s="386"/>
      <c r="X13" s="386"/>
      <c r="Y13" s="915" t="s">
        <v>303</v>
      </c>
      <c r="Z13" s="1127" t="s">
        <v>497</v>
      </c>
      <c r="AA13" s="1101" t="s">
        <v>498</v>
      </c>
      <c r="AB13" s="1101" t="s">
        <v>498</v>
      </c>
      <c r="AC13" s="1101" t="s">
        <v>495</v>
      </c>
      <c r="AD13" s="1048" t="s">
        <v>488</v>
      </c>
      <c r="AE13" s="1048" t="s">
        <v>489</v>
      </c>
      <c r="AF13" s="916" t="s">
        <v>490</v>
      </c>
      <c r="AG13" s="1092" t="s">
        <v>297</v>
      </c>
      <c r="AH13" s="1091" t="s">
        <v>427</v>
      </c>
      <c r="AI13" s="1063"/>
      <c r="AJ13" s="1063"/>
      <c r="AO13" s="384"/>
      <c r="AP13" s="386"/>
    </row>
    <row r="14" spans="2:42" s="129" customFormat="1" ht="12.75" customHeight="1" x14ac:dyDescent="0.3">
      <c r="B14" s="134"/>
      <c r="C14" s="382"/>
      <c r="D14" s="911"/>
      <c r="E14" s="877"/>
      <c r="F14" s="904" t="s">
        <v>138</v>
      </c>
      <c r="G14" s="905" t="s">
        <v>274</v>
      </c>
      <c r="H14" s="904"/>
      <c r="I14" s="904"/>
      <c r="J14" s="906" t="s">
        <v>452</v>
      </c>
      <c r="K14" s="914"/>
      <c r="L14" s="907" t="s">
        <v>482</v>
      </c>
      <c r="M14" s="907" t="s">
        <v>483</v>
      </c>
      <c r="N14" s="907" t="s">
        <v>481</v>
      </c>
      <c r="O14" s="907" t="s">
        <v>493</v>
      </c>
      <c r="P14" s="1138" t="s">
        <v>269</v>
      </c>
      <c r="Q14" s="881"/>
      <c r="R14" s="908" t="s">
        <v>506</v>
      </c>
      <c r="S14" s="909" t="s">
        <v>484</v>
      </c>
      <c r="T14" s="910" t="s">
        <v>269</v>
      </c>
      <c r="U14" s="887"/>
      <c r="V14" s="135"/>
      <c r="Y14" s="915" t="s">
        <v>197</v>
      </c>
      <c r="Z14" s="1129">
        <f>tab!$B$50</f>
        <v>0.6</v>
      </c>
      <c r="AA14" s="1101" t="s">
        <v>499</v>
      </c>
      <c r="AB14" s="1101" t="s">
        <v>500</v>
      </c>
      <c r="AC14" s="1101" t="s">
        <v>501</v>
      </c>
      <c r="AD14" s="1048" t="s">
        <v>491</v>
      </c>
      <c r="AE14" s="1048" t="s">
        <v>491</v>
      </c>
      <c r="AF14" s="916" t="s">
        <v>492</v>
      </c>
      <c r="AG14" s="1092"/>
      <c r="AH14" s="1093" t="s">
        <v>224</v>
      </c>
      <c r="AI14" s="1063"/>
      <c r="AJ14" s="1063"/>
      <c r="AP14" s="675"/>
    </row>
    <row r="15" spans="2:42" ht="12.75" customHeight="1" x14ac:dyDescent="0.3">
      <c r="B15" s="61"/>
      <c r="C15" s="114"/>
      <c r="D15" s="912"/>
      <c r="E15" s="912"/>
      <c r="F15" s="912"/>
      <c r="G15" s="912"/>
      <c r="H15" s="912"/>
      <c r="I15" s="912"/>
      <c r="J15" s="912"/>
      <c r="K15" s="913"/>
      <c r="L15" s="912"/>
      <c r="M15" s="912"/>
      <c r="N15" s="912"/>
      <c r="O15" s="912"/>
      <c r="P15" s="912"/>
      <c r="Q15" s="913"/>
      <c r="R15" s="935"/>
      <c r="S15" s="917"/>
      <c r="T15" s="936"/>
      <c r="U15" s="113"/>
      <c r="V15" s="65"/>
      <c r="Y15" s="915"/>
      <c r="Z15" s="1064"/>
      <c r="AA15" s="1064"/>
      <c r="AB15" s="1064"/>
      <c r="AC15" s="1064"/>
      <c r="AD15" s="1048"/>
      <c r="AE15" s="1048"/>
      <c r="AF15" s="1063"/>
      <c r="AG15" s="1092"/>
      <c r="AH15" s="1093"/>
      <c r="AM15" s="8"/>
      <c r="AN15" s="8"/>
      <c r="AP15" s="291"/>
    </row>
    <row r="16" spans="2:42" ht="12.75" customHeight="1" x14ac:dyDescent="0.3">
      <c r="B16" s="89"/>
      <c r="C16" s="114"/>
      <c r="D16" s="353"/>
      <c r="E16" s="388" t="s">
        <v>510</v>
      </c>
      <c r="F16" s="684"/>
      <c r="G16" s="710"/>
      <c r="H16" s="684">
        <v>8</v>
      </c>
      <c r="I16" s="389">
        <v>8</v>
      </c>
      <c r="J16" s="711">
        <v>1</v>
      </c>
      <c r="K16" s="370"/>
      <c r="L16" s="1049"/>
      <c r="M16" s="1049"/>
      <c r="N16" s="1051">
        <f t="shared" ref="N16" si="0">IF(J16="","",IF((J16*40)&gt;40,40,((J16*40))))</f>
        <v>40</v>
      </c>
      <c r="O16" s="1051"/>
      <c r="P16" s="1125">
        <f t="shared" ref="P16" si="1">IF(J16="","",(SUM(L16:O16)))</f>
        <v>40</v>
      </c>
      <c r="Q16" s="472"/>
      <c r="R16" s="923">
        <f>IF(J16="","",(((1659*J16)-P16)*AB16))</f>
        <v>55291.596151898731</v>
      </c>
      <c r="S16" s="923">
        <f t="shared" ref="S16" si="2">IF(J16="","",(P16*AC16)+(AA16*AD16)+((AE16*AA16*(1-AF16))))</f>
        <v>1366.0678481012658</v>
      </c>
      <c r="T16" s="925">
        <f t="shared" ref="T16" si="3">IF(J16="","",(R16+S16))</f>
        <v>56657.663999999997</v>
      </c>
      <c r="U16" s="545"/>
      <c r="V16" s="712"/>
      <c r="W16" s="957"/>
      <c r="X16" s="1060"/>
      <c r="Y16" s="1095">
        <f>ROUND(5/12*VLOOKUP(H16,salaris2019,I16+1,FALSE)+7/12*VLOOKUP(H16,salaris2020,I16+1,FALSE),2)</f>
        <v>2950.92</v>
      </c>
      <c r="Z16" s="1094">
        <f>tab!$B$50</f>
        <v>0.6</v>
      </c>
      <c r="AA16" s="1126">
        <f t="shared" ref="AA16" si="4">(Y16*12/1659)</f>
        <v>21.344810126582278</v>
      </c>
      <c r="AB16" s="1126">
        <f t="shared" ref="AB16" si="5">(Y16*12*(1+Z16))/1659</f>
        <v>34.151696202531646</v>
      </c>
      <c r="AC16" s="1126">
        <f t="shared" ref="AC16" si="6">AB16-AA16</f>
        <v>12.806886075949368</v>
      </c>
      <c r="AD16" s="1128">
        <f t="shared" ref="AD16" si="7">(N16+O16)</f>
        <v>40</v>
      </c>
      <c r="AE16" s="1128">
        <f t="shared" ref="AE16" si="8">(L16+M16)</f>
        <v>0</v>
      </c>
      <c r="AF16" s="1096">
        <f>IF(H16&gt;8,tab!$B$51,tab!$B$54)</f>
        <v>0.4</v>
      </c>
      <c r="AG16" s="1097">
        <f t="shared" ref="AG16:AG45" si="9">IF(F16&lt;25,0,IF(F16=25,25,IF(F16&lt;40,0,IF(F16=40,40,IF(F16&gt;=40,0)))))</f>
        <v>0</v>
      </c>
      <c r="AH16" s="1093">
        <f t="shared" ref="AH16:AH45" si="10">IF(AG16=25,(Y16*1.08*(J16)/2),IF(AG16=40,(Y16*1.08*(J16)),IF(AG16=0,0)))</f>
        <v>0</v>
      </c>
    </row>
    <row r="17" spans="2:34" ht="12.75" customHeight="1" x14ac:dyDescent="0.3">
      <c r="B17" s="89"/>
      <c r="C17" s="114"/>
      <c r="D17" s="353"/>
      <c r="E17" s="388"/>
      <c r="F17" s="684"/>
      <c r="G17" s="710"/>
      <c r="H17" s="684"/>
      <c r="I17" s="389"/>
      <c r="J17" s="711"/>
      <c r="K17" s="370"/>
      <c r="L17" s="1049"/>
      <c r="M17" s="1049"/>
      <c r="N17" s="1051" t="str">
        <f t="shared" ref="N17:N45" si="11">IF(J17="","",IF((J17*40)&gt;40,40,((J17*40))))</f>
        <v/>
      </c>
      <c r="O17" s="1051"/>
      <c r="P17" s="1125" t="str">
        <f t="shared" ref="P17:P45" si="12">IF(J17="","",(SUM(L17:O17)))</f>
        <v/>
      </c>
      <c r="Q17" s="472"/>
      <c r="R17" s="923" t="str">
        <f t="shared" ref="R17:R45" si="13">IF(J17="","",(((1659*J17)-P17)*AB17))</f>
        <v/>
      </c>
      <c r="S17" s="923" t="str">
        <f t="shared" ref="S17:S45" si="14">IF(J17="","",(P17*AC17)+(AA17*AD17)+((AE17*AA17*(1-AF17))))</f>
        <v/>
      </c>
      <c r="T17" s="925" t="str">
        <f t="shared" ref="T17:T45" si="15">IF(J17="","",(R17+S17))</f>
        <v/>
      </c>
      <c r="U17" s="545"/>
      <c r="V17" s="712"/>
      <c r="W17" s="957"/>
      <c r="X17" s="1060"/>
      <c r="Y17" s="1095" t="e">
        <f t="shared" ref="Y17:Y45" si="16">ROUND(5/12*VLOOKUP(H17,salaris2019,I17+1,FALSE),2)</f>
        <v>#N/A</v>
      </c>
      <c r="Z17" s="1094">
        <f>tab!$B$50</f>
        <v>0.6</v>
      </c>
      <c r="AA17" s="1126" t="e">
        <f t="shared" ref="AA17:AA45" si="17">(Y17*12/1659)</f>
        <v>#N/A</v>
      </c>
      <c r="AB17" s="1126" t="e">
        <f t="shared" ref="AB17:AB45" si="18">(Y17*12*(1+Z17))/1659</f>
        <v>#N/A</v>
      </c>
      <c r="AC17" s="1126" t="e">
        <f t="shared" ref="AC17:AC45" si="19">AB17-AA17</f>
        <v>#N/A</v>
      </c>
      <c r="AD17" s="1128" t="e">
        <f t="shared" ref="AD17:AD45" si="20">(N17+O17)</f>
        <v>#VALUE!</v>
      </c>
      <c r="AE17" s="1128">
        <f t="shared" ref="AE17:AE45" si="21">(L17+M17)</f>
        <v>0</v>
      </c>
      <c r="AF17" s="1096">
        <f>IF(H17&gt;8,tab!$B$51,tab!$B$54)</f>
        <v>0.4</v>
      </c>
      <c r="AG17" s="1097">
        <f t="shared" si="9"/>
        <v>0</v>
      </c>
      <c r="AH17" s="1093">
        <f t="shared" si="10"/>
        <v>0</v>
      </c>
    </row>
    <row r="18" spans="2:34" ht="12.75" customHeight="1" x14ac:dyDescent="0.3">
      <c r="B18" s="89"/>
      <c r="C18" s="114"/>
      <c r="D18" s="353"/>
      <c r="E18" s="388"/>
      <c r="F18" s="684"/>
      <c r="G18" s="710"/>
      <c r="H18" s="684"/>
      <c r="I18" s="389"/>
      <c r="J18" s="711"/>
      <c r="K18" s="370"/>
      <c r="L18" s="1049"/>
      <c r="M18" s="1049"/>
      <c r="N18" s="1051" t="str">
        <f t="shared" si="11"/>
        <v/>
      </c>
      <c r="O18" s="1051"/>
      <c r="P18" s="1125" t="str">
        <f t="shared" si="12"/>
        <v/>
      </c>
      <c r="Q18" s="472"/>
      <c r="R18" s="923" t="str">
        <f t="shared" si="13"/>
        <v/>
      </c>
      <c r="S18" s="923" t="str">
        <f t="shared" si="14"/>
        <v/>
      </c>
      <c r="T18" s="925" t="str">
        <f t="shared" si="15"/>
        <v/>
      </c>
      <c r="U18" s="545"/>
      <c r="V18" s="712"/>
      <c r="W18" s="957"/>
      <c r="X18" s="1060"/>
      <c r="Y18" s="1095" t="e">
        <f t="shared" si="16"/>
        <v>#N/A</v>
      </c>
      <c r="Z18" s="1094">
        <f>tab!$B$50</f>
        <v>0.6</v>
      </c>
      <c r="AA18" s="1126" t="e">
        <f t="shared" si="17"/>
        <v>#N/A</v>
      </c>
      <c r="AB18" s="1126" t="e">
        <f t="shared" si="18"/>
        <v>#N/A</v>
      </c>
      <c r="AC18" s="1126" t="e">
        <f t="shared" si="19"/>
        <v>#N/A</v>
      </c>
      <c r="AD18" s="1128" t="e">
        <f t="shared" si="20"/>
        <v>#VALUE!</v>
      </c>
      <c r="AE18" s="1128">
        <f t="shared" si="21"/>
        <v>0</v>
      </c>
      <c r="AF18" s="1096">
        <f>IF(H18&gt;8,tab!$B$51,tab!$B$54)</f>
        <v>0.4</v>
      </c>
      <c r="AG18" s="1097">
        <f t="shared" si="9"/>
        <v>0</v>
      </c>
      <c r="AH18" s="1093">
        <f t="shared" si="10"/>
        <v>0</v>
      </c>
    </row>
    <row r="19" spans="2:34" ht="12.75" customHeight="1" x14ac:dyDescent="0.3">
      <c r="B19" s="89"/>
      <c r="C19" s="114"/>
      <c r="D19" s="353"/>
      <c r="E19" s="388"/>
      <c r="F19" s="684"/>
      <c r="G19" s="710"/>
      <c r="H19" s="684"/>
      <c r="I19" s="389"/>
      <c r="J19" s="711"/>
      <c r="K19" s="370"/>
      <c r="L19" s="1049"/>
      <c r="M19" s="1049"/>
      <c r="N19" s="1051" t="str">
        <f t="shared" si="11"/>
        <v/>
      </c>
      <c r="O19" s="1051"/>
      <c r="P19" s="1125" t="str">
        <f t="shared" si="12"/>
        <v/>
      </c>
      <c r="Q19" s="472"/>
      <c r="R19" s="923" t="str">
        <f t="shared" si="13"/>
        <v/>
      </c>
      <c r="S19" s="923" t="str">
        <f t="shared" si="14"/>
        <v/>
      </c>
      <c r="T19" s="925" t="str">
        <f t="shared" si="15"/>
        <v/>
      </c>
      <c r="U19" s="545"/>
      <c r="V19" s="712"/>
      <c r="W19" s="957"/>
      <c r="X19" s="1060"/>
      <c r="Y19" s="1095" t="e">
        <f t="shared" si="16"/>
        <v>#N/A</v>
      </c>
      <c r="Z19" s="1094">
        <f>tab!$B$50</f>
        <v>0.6</v>
      </c>
      <c r="AA19" s="1126" t="e">
        <f t="shared" si="17"/>
        <v>#N/A</v>
      </c>
      <c r="AB19" s="1126" t="e">
        <f t="shared" si="18"/>
        <v>#N/A</v>
      </c>
      <c r="AC19" s="1126" t="e">
        <f t="shared" si="19"/>
        <v>#N/A</v>
      </c>
      <c r="AD19" s="1128" t="e">
        <f t="shared" si="20"/>
        <v>#VALUE!</v>
      </c>
      <c r="AE19" s="1128">
        <f t="shared" si="21"/>
        <v>0</v>
      </c>
      <c r="AF19" s="1096">
        <f>IF(H19&gt;8,tab!$B$51,tab!$B$54)</f>
        <v>0.4</v>
      </c>
      <c r="AG19" s="1097">
        <f t="shared" si="9"/>
        <v>0</v>
      </c>
      <c r="AH19" s="1093">
        <f t="shared" si="10"/>
        <v>0</v>
      </c>
    </row>
    <row r="20" spans="2:34" ht="12.75" customHeight="1" x14ac:dyDescent="0.3">
      <c r="B20" s="89"/>
      <c r="C20" s="114"/>
      <c r="D20" s="353"/>
      <c r="E20" s="388"/>
      <c r="F20" s="684"/>
      <c r="G20" s="710"/>
      <c r="H20" s="684"/>
      <c r="I20" s="389"/>
      <c r="J20" s="711"/>
      <c r="K20" s="370"/>
      <c r="L20" s="1049"/>
      <c r="M20" s="1049"/>
      <c r="N20" s="1051" t="str">
        <f t="shared" si="11"/>
        <v/>
      </c>
      <c r="O20" s="1051"/>
      <c r="P20" s="1125" t="str">
        <f t="shared" si="12"/>
        <v/>
      </c>
      <c r="Q20" s="472"/>
      <c r="R20" s="923" t="str">
        <f t="shared" si="13"/>
        <v/>
      </c>
      <c r="S20" s="923" t="str">
        <f t="shared" si="14"/>
        <v/>
      </c>
      <c r="T20" s="925" t="str">
        <f t="shared" si="15"/>
        <v/>
      </c>
      <c r="U20" s="545"/>
      <c r="V20" s="712"/>
      <c r="W20" s="957"/>
      <c r="X20" s="1060"/>
      <c r="Y20" s="1095" t="e">
        <f t="shared" si="16"/>
        <v>#N/A</v>
      </c>
      <c r="Z20" s="1094">
        <f>tab!$B$50</f>
        <v>0.6</v>
      </c>
      <c r="AA20" s="1126" t="e">
        <f t="shared" si="17"/>
        <v>#N/A</v>
      </c>
      <c r="AB20" s="1126" t="e">
        <f t="shared" si="18"/>
        <v>#N/A</v>
      </c>
      <c r="AC20" s="1126" t="e">
        <f t="shared" si="19"/>
        <v>#N/A</v>
      </c>
      <c r="AD20" s="1128" t="e">
        <f t="shared" si="20"/>
        <v>#VALUE!</v>
      </c>
      <c r="AE20" s="1128">
        <f t="shared" si="21"/>
        <v>0</v>
      </c>
      <c r="AF20" s="1096">
        <f>IF(H20&gt;8,tab!$B$51,tab!$B$54)</f>
        <v>0.4</v>
      </c>
      <c r="AG20" s="1097">
        <f t="shared" si="9"/>
        <v>0</v>
      </c>
      <c r="AH20" s="1093">
        <f t="shared" si="10"/>
        <v>0</v>
      </c>
    </row>
    <row r="21" spans="2:34" ht="12.75" customHeight="1" x14ac:dyDescent="0.3">
      <c r="B21" s="89"/>
      <c r="C21" s="114"/>
      <c r="D21" s="353"/>
      <c r="E21" s="388"/>
      <c r="F21" s="684"/>
      <c r="G21" s="710"/>
      <c r="H21" s="684"/>
      <c r="I21" s="389"/>
      <c r="J21" s="711"/>
      <c r="K21" s="370"/>
      <c r="L21" s="1049"/>
      <c r="M21" s="1049"/>
      <c r="N21" s="1051" t="str">
        <f t="shared" si="11"/>
        <v/>
      </c>
      <c r="O21" s="1051"/>
      <c r="P21" s="1125" t="str">
        <f t="shared" si="12"/>
        <v/>
      </c>
      <c r="Q21" s="472"/>
      <c r="R21" s="923" t="str">
        <f t="shared" si="13"/>
        <v/>
      </c>
      <c r="S21" s="923" t="str">
        <f t="shared" si="14"/>
        <v/>
      </c>
      <c r="T21" s="925" t="str">
        <f t="shared" si="15"/>
        <v/>
      </c>
      <c r="U21" s="545"/>
      <c r="V21" s="712"/>
      <c r="W21" s="957"/>
      <c r="X21" s="1060"/>
      <c r="Y21" s="1095" t="e">
        <f t="shared" si="16"/>
        <v>#N/A</v>
      </c>
      <c r="Z21" s="1094">
        <f>tab!$B$50</f>
        <v>0.6</v>
      </c>
      <c r="AA21" s="1126" t="e">
        <f t="shared" si="17"/>
        <v>#N/A</v>
      </c>
      <c r="AB21" s="1126" t="e">
        <f t="shared" si="18"/>
        <v>#N/A</v>
      </c>
      <c r="AC21" s="1126" t="e">
        <f t="shared" si="19"/>
        <v>#N/A</v>
      </c>
      <c r="AD21" s="1128" t="e">
        <f t="shared" si="20"/>
        <v>#VALUE!</v>
      </c>
      <c r="AE21" s="1128">
        <f t="shared" si="21"/>
        <v>0</v>
      </c>
      <c r="AF21" s="1096">
        <f>IF(H21&gt;8,tab!$B$51,tab!$B$54)</f>
        <v>0.4</v>
      </c>
      <c r="AG21" s="1097">
        <f t="shared" si="9"/>
        <v>0</v>
      </c>
      <c r="AH21" s="1093">
        <f t="shared" si="10"/>
        <v>0</v>
      </c>
    </row>
    <row r="22" spans="2:34" ht="12.75" customHeight="1" x14ac:dyDescent="0.3">
      <c r="B22" s="89"/>
      <c r="C22" s="114"/>
      <c r="D22" s="353"/>
      <c r="E22" s="388"/>
      <c r="F22" s="684"/>
      <c r="G22" s="710"/>
      <c r="H22" s="684"/>
      <c r="I22" s="389"/>
      <c r="J22" s="711"/>
      <c r="K22" s="370"/>
      <c r="L22" s="1049"/>
      <c r="M22" s="1049"/>
      <c r="N22" s="1051" t="str">
        <f t="shared" si="11"/>
        <v/>
      </c>
      <c r="O22" s="1051"/>
      <c r="P22" s="1125" t="str">
        <f t="shared" si="12"/>
        <v/>
      </c>
      <c r="Q22" s="472"/>
      <c r="R22" s="923" t="str">
        <f t="shared" si="13"/>
        <v/>
      </c>
      <c r="S22" s="923" t="str">
        <f t="shared" si="14"/>
        <v/>
      </c>
      <c r="T22" s="925" t="str">
        <f t="shared" si="15"/>
        <v/>
      </c>
      <c r="U22" s="545"/>
      <c r="V22" s="712"/>
      <c r="W22" s="957"/>
      <c r="X22" s="1060"/>
      <c r="Y22" s="1095" t="e">
        <f t="shared" si="16"/>
        <v>#N/A</v>
      </c>
      <c r="Z22" s="1094">
        <f>tab!$B$50</f>
        <v>0.6</v>
      </c>
      <c r="AA22" s="1126" t="e">
        <f t="shared" si="17"/>
        <v>#N/A</v>
      </c>
      <c r="AB22" s="1126" t="e">
        <f t="shared" si="18"/>
        <v>#N/A</v>
      </c>
      <c r="AC22" s="1126" t="e">
        <f t="shared" si="19"/>
        <v>#N/A</v>
      </c>
      <c r="AD22" s="1128" t="e">
        <f t="shared" si="20"/>
        <v>#VALUE!</v>
      </c>
      <c r="AE22" s="1128">
        <f t="shared" si="21"/>
        <v>0</v>
      </c>
      <c r="AF22" s="1096">
        <f>IF(H22&gt;8,tab!$B$51,tab!$B$54)</f>
        <v>0.4</v>
      </c>
      <c r="AG22" s="1097">
        <f t="shared" si="9"/>
        <v>0</v>
      </c>
      <c r="AH22" s="1093">
        <f t="shared" si="10"/>
        <v>0</v>
      </c>
    </row>
    <row r="23" spans="2:34" ht="12.75" customHeight="1" x14ac:dyDescent="0.3">
      <c r="B23" s="89"/>
      <c r="C23" s="114"/>
      <c r="D23" s="353"/>
      <c r="E23" s="388"/>
      <c r="F23" s="684"/>
      <c r="G23" s="710"/>
      <c r="H23" s="684"/>
      <c r="I23" s="389"/>
      <c r="J23" s="711"/>
      <c r="K23" s="370"/>
      <c r="L23" s="1049"/>
      <c r="M23" s="1049"/>
      <c r="N23" s="1051" t="str">
        <f t="shared" si="11"/>
        <v/>
      </c>
      <c r="O23" s="1051"/>
      <c r="P23" s="1125" t="str">
        <f t="shared" si="12"/>
        <v/>
      </c>
      <c r="Q23" s="472"/>
      <c r="R23" s="923" t="str">
        <f t="shared" si="13"/>
        <v/>
      </c>
      <c r="S23" s="923" t="str">
        <f t="shared" si="14"/>
        <v/>
      </c>
      <c r="T23" s="925" t="str">
        <f t="shared" si="15"/>
        <v/>
      </c>
      <c r="U23" s="545"/>
      <c r="V23" s="712"/>
      <c r="W23" s="957"/>
      <c r="X23" s="1060"/>
      <c r="Y23" s="1095" t="e">
        <f t="shared" si="16"/>
        <v>#N/A</v>
      </c>
      <c r="Z23" s="1094">
        <f>tab!$B$50</f>
        <v>0.6</v>
      </c>
      <c r="AA23" s="1126" t="e">
        <f t="shared" si="17"/>
        <v>#N/A</v>
      </c>
      <c r="AB23" s="1126" t="e">
        <f t="shared" si="18"/>
        <v>#N/A</v>
      </c>
      <c r="AC23" s="1126" t="e">
        <f t="shared" si="19"/>
        <v>#N/A</v>
      </c>
      <c r="AD23" s="1128" t="e">
        <f t="shared" si="20"/>
        <v>#VALUE!</v>
      </c>
      <c r="AE23" s="1128">
        <f t="shared" si="21"/>
        <v>0</v>
      </c>
      <c r="AF23" s="1096">
        <f>IF(H23&gt;8,tab!$B$51,tab!$B$54)</f>
        <v>0.4</v>
      </c>
      <c r="AG23" s="1097">
        <f t="shared" si="9"/>
        <v>0</v>
      </c>
      <c r="AH23" s="1093">
        <f t="shared" si="10"/>
        <v>0</v>
      </c>
    </row>
    <row r="24" spans="2:34" ht="12.75" customHeight="1" x14ac:dyDescent="0.3">
      <c r="B24" s="89"/>
      <c r="C24" s="114"/>
      <c r="D24" s="353"/>
      <c r="E24" s="388"/>
      <c r="F24" s="684"/>
      <c r="G24" s="710"/>
      <c r="H24" s="684"/>
      <c r="I24" s="389"/>
      <c r="J24" s="711"/>
      <c r="K24" s="370"/>
      <c r="L24" s="1049"/>
      <c r="M24" s="1049"/>
      <c r="N24" s="1051" t="str">
        <f t="shared" si="11"/>
        <v/>
      </c>
      <c r="O24" s="1051"/>
      <c r="P24" s="1125" t="str">
        <f t="shared" si="12"/>
        <v/>
      </c>
      <c r="Q24" s="472"/>
      <c r="R24" s="923" t="str">
        <f t="shared" si="13"/>
        <v/>
      </c>
      <c r="S24" s="923" t="str">
        <f t="shared" si="14"/>
        <v/>
      </c>
      <c r="T24" s="925" t="str">
        <f t="shared" si="15"/>
        <v/>
      </c>
      <c r="U24" s="545"/>
      <c r="V24" s="712"/>
      <c r="W24" s="957"/>
      <c r="X24" s="1060"/>
      <c r="Y24" s="1095" t="e">
        <f t="shared" si="16"/>
        <v>#N/A</v>
      </c>
      <c r="Z24" s="1094">
        <f>tab!$B$50</f>
        <v>0.6</v>
      </c>
      <c r="AA24" s="1126" t="e">
        <f t="shared" si="17"/>
        <v>#N/A</v>
      </c>
      <c r="AB24" s="1126" t="e">
        <f t="shared" si="18"/>
        <v>#N/A</v>
      </c>
      <c r="AC24" s="1126" t="e">
        <f t="shared" si="19"/>
        <v>#N/A</v>
      </c>
      <c r="AD24" s="1128" t="e">
        <f t="shared" si="20"/>
        <v>#VALUE!</v>
      </c>
      <c r="AE24" s="1128">
        <f t="shared" si="21"/>
        <v>0</v>
      </c>
      <c r="AF24" s="1096">
        <f>IF(H24&gt;8,tab!$B$51,tab!$B$54)</f>
        <v>0.4</v>
      </c>
      <c r="AG24" s="1097">
        <f t="shared" si="9"/>
        <v>0</v>
      </c>
      <c r="AH24" s="1093">
        <f t="shared" si="10"/>
        <v>0</v>
      </c>
    </row>
    <row r="25" spans="2:34" ht="12.75" customHeight="1" x14ac:dyDescent="0.3">
      <c r="B25" s="89"/>
      <c r="C25" s="114"/>
      <c r="D25" s="353"/>
      <c r="E25" s="388"/>
      <c r="F25" s="684"/>
      <c r="G25" s="710"/>
      <c r="H25" s="684"/>
      <c r="I25" s="389"/>
      <c r="J25" s="711"/>
      <c r="K25" s="370"/>
      <c r="L25" s="1049"/>
      <c r="M25" s="1049"/>
      <c r="N25" s="1051" t="str">
        <f t="shared" si="11"/>
        <v/>
      </c>
      <c r="O25" s="1051"/>
      <c r="P25" s="1125" t="str">
        <f t="shared" si="12"/>
        <v/>
      </c>
      <c r="Q25" s="472"/>
      <c r="R25" s="923" t="str">
        <f t="shared" si="13"/>
        <v/>
      </c>
      <c r="S25" s="923" t="str">
        <f t="shared" si="14"/>
        <v/>
      </c>
      <c r="T25" s="925" t="str">
        <f t="shared" si="15"/>
        <v/>
      </c>
      <c r="U25" s="545"/>
      <c r="V25" s="712"/>
      <c r="W25" s="957"/>
      <c r="X25" s="1060"/>
      <c r="Y25" s="1095" t="e">
        <f t="shared" si="16"/>
        <v>#N/A</v>
      </c>
      <c r="Z25" s="1094">
        <f>tab!$B$50</f>
        <v>0.6</v>
      </c>
      <c r="AA25" s="1126" t="e">
        <f t="shared" si="17"/>
        <v>#N/A</v>
      </c>
      <c r="AB25" s="1126" t="e">
        <f t="shared" si="18"/>
        <v>#N/A</v>
      </c>
      <c r="AC25" s="1126" t="e">
        <f t="shared" si="19"/>
        <v>#N/A</v>
      </c>
      <c r="AD25" s="1128" t="e">
        <f t="shared" si="20"/>
        <v>#VALUE!</v>
      </c>
      <c r="AE25" s="1128">
        <f t="shared" si="21"/>
        <v>0</v>
      </c>
      <c r="AF25" s="1096">
        <f>IF(H25&gt;8,tab!$B$51,tab!$B$54)</f>
        <v>0.4</v>
      </c>
      <c r="AG25" s="1097">
        <f t="shared" si="9"/>
        <v>0</v>
      </c>
      <c r="AH25" s="1093">
        <f t="shared" si="10"/>
        <v>0</v>
      </c>
    </row>
    <row r="26" spans="2:34" ht="12.75" customHeight="1" x14ac:dyDescent="0.3">
      <c r="B26" s="89"/>
      <c r="C26" s="114"/>
      <c r="D26" s="353"/>
      <c r="E26" s="388"/>
      <c r="F26" s="684"/>
      <c r="G26" s="710"/>
      <c r="H26" s="684"/>
      <c r="I26" s="389"/>
      <c r="J26" s="711"/>
      <c r="K26" s="370"/>
      <c r="L26" s="1049"/>
      <c r="M26" s="1049"/>
      <c r="N26" s="1051" t="str">
        <f t="shared" si="11"/>
        <v/>
      </c>
      <c r="O26" s="1051"/>
      <c r="P26" s="1125" t="str">
        <f t="shared" si="12"/>
        <v/>
      </c>
      <c r="Q26" s="472"/>
      <c r="R26" s="923" t="str">
        <f t="shared" si="13"/>
        <v/>
      </c>
      <c r="S26" s="923" t="str">
        <f t="shared" si="14"/>
        <v/>
      </c>
      <c r="T26" s="925" t="str">
        <f t="shared" si="15"/>
        <v/>
      </c>
      <c r="U26" s="545"/>
      <c r="V26" s="712"/>
      <c r="W26" s="957"/>
      <c r="X26" s="1060"/>
      <c r="Y26" s="1095" t="e">
        <f t="shared" si="16"/>
        <v>#N/A</v>
      </c>
      <c r="Z26" s="1094">
        <f>tab!$B$50</f>
        <v>0.6</v>
      </c>
      <c r="AA26" s="1126" t="e">
        <f t="shared" si="17"/>
        <v>#N/A</v>
      </c>
      <c r="AB26" s="1126" t="e">
        <f t="shared" si="18"/>
        <v>#N/A</v>
      </c>
      <c r="AC26" s="1126" t="e">
        <f t="shared" si="19"/>
        <v>#N/A</v>
      </c>
      <c r="AD26" s="1128" t="e">
        <f t="shared" si="20"/>
        <v>#VALUE!</v>
      </c>
      <c r="AE26" s="1128">
        <f t="shared" si="21"/>
        <v>0</v>
      </c>
      <c r="AF26" s="1096">
        <f>IF(H26&gt;8,tab!$B$51,tab!$B$54)</f>
        <v>0.4</v>
      </c>
      <c r="AG26" s="1097">
        <f t="shared" si="9"/>
        <v>0</v>
      </c>
      <c r="AH26" s="1093">
        <f t="shared" si="10"/>
        <v>0</v>
      </c>
    </row>
    <row r="27" spans="2:34" ht="12.75" customHeight="1" x14ac:dyDescent="0.3">
      <c r="B27" s="89"/>
      <c r="C27" s="114"/>
      <c r="D27" s="353"/>
      <c r="E27" s="388"/>
      <c r="F27" s="684"/>
      <c r="G27" s="710"/>
      <c r="H27" s="684"/>
      <c r="I27" s="389"/>
      <c r="J27" s="711"/>
      <c r="K27" s="370"/>
      <c r="L27" s="1049"/>
      <c r="M27" s="1049"/>
      <c r="N27" s="1051" t="str">
        <f t="shared" si="11"/>
        <v/>
      </c>
      <c r="O27" s="1051"/>
      <c r="P27" s="1125" t="str">
        <f t="shared" si="12"/>
        <v/>
      </c>
      <c r="Q27" s="472"/>
      <c r="R27" s="923" t="str">
        <f t="shared" si="13"/>
        <v/>
      </c>
      <c r="S27" s="923" t="str">
        <f t="shared" si="14"/>
        <v/>
      </c>
      <c r="T27" s="925" t="str">
        <f t="shared" si="15"/>
        <v/>
      </c>
      <c r="U27" s="545"/>
      <c r="V27" s="712"/>
      <c r="W27" s="957"/>
      <c r="X27" s="1060"/>
      <c r="Y27" s="1095" t="e">
        <f t="shared" si="16"/>
        <v>#N/A</v>
      </c>
      <c r="Z27" s="1094">
        <f>tab!$B$50</f>
        <v>0.6</v>
      </c>
      <c r="AA27" s="1126" t="e">
        <f t="shared" si="17"/>
        <v>#N/A</v>
      </c>
      <c r="AB27" s="1126" t="e">
        <f t="shared" si="18"/>
        <v>#N/A</v>
      </c>
      <c r="AC27" s="1126" t="e">
        <f t="shared" si="19"/>
        <v>#N/A</v>
      </c>
      <c r="AD27" s="1128" t="e">
        <f t="shared" si="20"/>
        <v>#VALUE!</v>
      </c>
      <c r="AE27" s="1128">
        <f t="shared" si="21"/>
        <v>0</v>
      </c>
      <c r="AF27" s="1096">
        <f>IF(H27&gt;8,tab!$B$51,tab!$B$54)</f>
        <v>0.4</v>
      </c>
      <c r="AG27" s="1097">
        <f t="shared" si="9"/>
        <v>0</v>
      </c>
      <c r="AH27" s="1093">
        <f t="shared" si="10"/>
        <v>0</v>
      </c>
    </row>
    <row r="28" spans="2:34" ht="12.75" customHeight="1" x14ac:dyDescent="0.3">
      <c r="B28" s="89"/>
      <c r="C28" s="114"/>
      <c r="D28" s="353"/>
      <c r="E28" s="388"/>
      <c r="F28" s="684"/>
      <c r="G28" s="710"/>
      <c r="H28" s="684"/>
      <c r="I28" s="389"/>
      <c r="J28" s="711"/>
      <c r="K28" s="370"/>
      <c r="L28" s="1049"/>
      <c r="M28" s="1049"/>
      <c r="N28" s="1051" t="str">
        <f t="shared" si="11"/>
        <v/>
      </c>
      <c r="O28" s="1051"/>
      <c r="P28" s="1125" t="str">
        <f t="shared" si="12"/>
        <v/>
      </c>
      <c r="Q28" s="472"/>
      <c r="R28" s="923" t="str">
        <f t="shared" si="13"/>
        <v/>
      </c>
      <c r="S28" s="923" t="str">
        <f t="shared" si="14"/>
        <v/>
      </c>
      <c r="T28" s="925" t="str">
        <f t="shared" si="15"/>
        <v/>
      </c>
      <c r="U28" s="545"/>
      <c r="V28" s="712"/>
      <c r="W28" s="957"/>
      <c r="X28" s="1060"/>
      <c r="Y28" s="1095" t="e">
        <f t="shared" si="16"/>
        <v>#N/A</v>
      </c>
      <c r="Z28" s="1094">
        <f>tab!$B$50</f>
        <v>0.6</v>
      </c>
      <c r="AA28" s="1126" t="e">
        <f t="shared" si="17"/>
        <v>#N/A</v>
      </c>
      <c r="AB28" s="1126" t="e">
        <f t="shared" si="18"/>
        <v>#N/A</v>
      </c>
      <c r="AC28" s="1126" t="e">
        <f t="shared" si="19"/>
        <v>#N/A</v>
      </c>
      <c r="AD28" s="1128" t="e">
        <f t="shared" si="20"/>
        <v>#VALUE!</v>
      </c>
      <c r="AE28" s="1128">
        <f t="shared" si="21"/>
        <v>0</v>
      </c>
      <c r="AF28" s="1096">
        <f>IF(H28&gt;8,tab!$B$51,tab!$B$54)</f>
        <v>0.4</v>
      </c>
      <c r="AG28" s="1097">
        <f t="shared" si="9"/>
        <v>0</v>
      </c>
      <c r="AH28" s="1093">
        <f t="shared" si="10"/>
        <v>0</v>
      </c>
    </row>
    <row r="29" spans="2:34" ht="12.75" customHeight="1" x14ac:dyDescent="0.3">
      <c r="B29" s="89"/>
      <c r="C29" s="114"/>
      <c r="D29" s="353"/>
      <c r="E29" s="388"/>
      <c r="F29" s="684"/>
      <c r="G29" s="710"/>
      <c r="H29" s="684"/>
      <c r="I29" s="389"/>
      <c r="J29" s="711"/>
      <c r="K29" s="370"/>
      <c r="L29" s="1049"/>
      <c r="M29" s="1049"/>
      <c r="N29" s="1051" t="str">
        <f t="shared" si="11"/>
        <v/>
      </c>
      <c r="O29" s="1051"/>
      <c r="P29" s="1125" t="str">
        <f t="shared" si="12"/>
        <v/>
      </c>
      <c r="Q29" s="472"/>
      <c r="R29" s="923" t="str">
        <f t="shared" si="13"/>
        <v/>
      </c>
      <c r="S29" s="923" t="str">
        <f t="shared" si="14"/>
        <v/>
      </c>
      <c r="T29" s="925" t="str">
        <f t="shared" si="15"/>
        <v/>
      </c>
      <c r="U29" s="545"/>
      <c r="V29" s="712"/>
      <c r="W29" s="957"/>
      <c r="X29" s="1060"/>
      <c r="Y29" s="1095" t="e">
        <f t="shared" si="16"/>
        <v>#N/A</v>
      </c>
      <c r="Z29" s="1094">
        <f>tab!$B$50</f>
        <v>0.6</v>
      </c>
      <c r="AA29" s="1126" t="e">
        <f t="shared" si="17"/>
        <v>#N/A</v>
      </c>
      <c r="AB29" s="1126" t="e">
        <f t="shared" si="18"/>
        <v>#N/A</v>
      </c>
      <c r="AC29" s="1126" t="e">
        <f t="shared" si="19"/>
        <v>#N/A</v>
      </c>
      <c r="AD29" s="1128" t="e">
        <f t="shared" si="20"/>
        <v>#VALUE!</v>
      </c>
      <c r="AE29" s="1128">
        <f t="shared" si="21"/>
        <v>0</v>
      </c>
      <c r="AF29" s="1096">
        <f>IF(H29&gt;8,tab!$B$51,tab!$B$54)</f>
        <v>0.4</v>
      </c>
      <c r="AG29" s="1097">
        <f t="shared" si="9"/>
        <v>0</v>
      </c>
      <c r="AH29" s="1093">
        <f t="shared" si="10"/>
        <v>0</v>
      </c>
    </row>
    <row r="30" spans="2:34" ht="12.75" customHeight="1" x14ac:dyDescent="0.3">
      <c r="B30" s="89"/>
      <c r="C30" s="114"/>
      <c r="D30" s="353"/>
      <c r="E30" s="388"/>
      <c r="F30" s="684"/>
      <c r="G30" s="710"/>
      <c r="H30" s="684"/>
      <c r="I30" s="389"/>
      <c r="J30" s="711"/>
      <c r="K30" s="370"/>
      <c r="L30" s="1049"/>
      <c r="M30" s="1049"/>
      <c r="N30" s="1051" t="str">
        <f t="shared" si="11"/>
        <v/>
      </c>
      <c r="O30" s="1051"/>
      <c r="P30" s="1125" t="str">
        <f t="shared" si="12"/>
        <v/>
      </c>
      <c r="Q30" s="472"/>
      <c r="R30" s="923" t="str">
        <f t="shared" si="13"/>
        <v/>
      </c>
      <c r="S30" s="923" t="str">
        <f t="shared" si="14"/>
        <v/>
      </c>
      <c r="T30" s="925" t="str">
        <f t="shared" si="15"/>
        <v/>
      </c>
      <c r="U30" s="545"/>
      <c r="V30" s="712"/>
      <c r="W30" s="957"/>
      <c r="X30" s="1060"/>
      <c r="Y30" s="1095" t="e">
        <f t="shared" si="16"/>
        <v>#N/A</v>
      </c>
      <c r="Z30" s="1094">
        <f>tab!$B$50</f>
        <v>0.6</v>
      </c>
      <c r="AA30" s="1126" t="e">
        <f t="shared" si="17"/>
        <v>#N/A</v>
      </c>
      <c r="AB30" s="1126" t="e">
        <f t="shared" si="18"/>
        <v>#N/A</v>
      </c>
      <c r="AC30" s="1126" t="e">
        <f t="shared" si="19"/>
        <v>#N/A</v>
      </c>
      <c r="AD30" s="1128" t="e">
        <f t="shared" si="20"/>
        <v>#VALUE!</v>
      </c>
      <c r="AE30" s="1128">
        <f t="shared" si="21"/>
        <v>0</v>
      </c>
      <c r="AF30" s="1096">
        <f>IF(H30&gt;8,tab!$B$51,tab!$B$54)</f>
        <v>0.4</v>
      </c>
      <c r="AG30" s="1097">
        <f t="shared" si="9"/>
        <v>0</v>
      </c>
      <c r="AH30" s="1093">
        <f t="shared" si="10"/>
        <v>0</v>
      </c>
    </row>
    <row r="31" spans="2:34" ht="12.75" customHeight="1" x14ac:dyDescent="0.3">
      <c r="B31" s="89"/>
      <c r="C31" s="114"/>
      <c r="D31" s="353"/>
      <c r="E31" s="388"/>
      <c r="F31" s="684"/>
      <c r="G31" s="710"/>
      <c r="H31" s="684"/>
      <c r="I31" s="389"/>
      <c r="J31" s="711"/>
      <c r="K31" s="370"/>
      <c r="L31" s="1049"/>
      <c r="M31" s="1049"/>
      <c r="N31" s="1051" t="str">
        <f t="shared" si="11"/>
        <v/>
      </c>
      <c r="O31" s="1051"/>
      <c r="P31" s="1125" t="str">
        <f t="shared" si="12"/>
        <v/>
      </c>
      <c r="Q31" s="472"/>
      <c r="R31" s="923" t="str">
        <f t="shared" si="13"/>
        <v/>
      </c>
      <c r="S31" s="923" t="str">
        <f t="shared" si="14"/>
        <v/>
      </c>
      <c r="T31" s="925" t="str">
        <f t="shared" si="15"/>
        <v/>
      </c>
      <c r="U31" s="545"/>
      <c r="V31" s="712"/>
      <c r="W31" s="957"/>
      <c r="X31" s="1060"/>
      <c r="Y31" s="1095" t="e">
        <f t="shared" si="16"/>
        <v>#N/A</v>
      </c>
      <c r="Z31" s="1094">
        <f>tab!$B$50</f>
        <v>0.6</v>
      </c>
      <c r="AA31" s="1126" t="e">
        <f t="shared" si="17"/>
        <v>#N/A</v>
      </c>
      <c r="AB31" s="1126" t="e">
        <f t="shared" si="18"/>
        <v>#N/A</v>
      </c>
      <c r="AC31" s="1126" t="e">
        <f t="shared" si="19"/>
        <v>#N/A</v>
      </c>
      <c r="AD31" s="1128" t="e">
        <f t="shared" si="20"/>
        <v>#VALUE!</v>
      </c>
      <c r="AE31" s="1128">
        <f t="shared" si="21"/>
        <v>0</v>
      </c>
      <c r="AF31" s="1096">
        <f>IF(H31&gt;8,tab!$B$51,tab!$B$54)</f>
        <v>0.4</v>
      </c>
      <c r="AG31" s="1097">
        <f t="shared" si="9"/>
        <v>0</v>
      </c>
      <c r="AH31" s="1093">
        <f t="shared" si="10"/>
        <v>0</v>
      </c>
    </row>
    <row r="32" spans="2:34" ht="12.75" customHeight="1" x14ac:dyDescent="0.3">
      <c r="B32" s="89"/>
      <c r="C32" s="114"/>
      <c r="D32" s="353"/>
      <c r="E32" s="388"/>
      <c r="F32" s="684"/>
      <c r="G32" s="710"/>
      <c r="H32" s="684"/>
      <c r="I32" s="389"/>
      <c r="J32" s="711"/>
      <c r="K32" s="370"/>
      <c r="L32" s="1049"/>
      <c r="M32" s="1049"/>
      <c r="N32" s="1051" t="str">
        <f t="shared" si="11"/>
        <v/>
      </c>
      <c r="O32" s="1051"/>
      <c r="P32" s="1125" t="str">
        <f t="shared" si="12"/>
        <v/>
      </c>
      <c r="Q32" s="472"/>
      <c r="R32" s="923" t="str">
        <f t="shared" si="13"/>
        <v/>
      </c>
      <c r="S32" s="923" t="str">
        <f t="shared" si="14"/>
        <v/>
      </c>
      <c r="T32" s="925" t="str">
        <f t="shared" si="15"/>
        <v/>
      </c>
      <c r="U32" s="545"/>
      <c r="V32" s="712"/>
      <c r="W32" s="957"/>
      <c r="X32" s="1060"/>
      <c r="Y32" s="1095" t="e">
        <f t="shared" si="16"/>
        <v>#N/A</v>
      </c>
      <c r="Z32" s="1094">
        <f>tab!$B$50</f>
        <v>0.6</v>
      </c>
      <c r="AA32" s="1126" t="e">
        <f t="shared" si="17"/>
        <v>#N/A</v>
      </c>
      <c r="AB32" s="1126" t="e">
        <f t="shared" si="18"/>
        <v>#N/A</v>
      </c>
      <c r="AC32" s="1126" t="e">
        <f t="shared" si="19"/>
        <v>#N/A</v>
      </c>
      <c r="AD32" s="1128" t="e">
        <f t="shared" si="20"/>
        <v>#VALUE!</v>
      </c>
      <c r="AE32" s="1128">
        <f t="shared" si="21"/>
        <v>0</v>
      </c>
      <c r="AF32" s="1096">
        <f>IF(H32&gt;8,tab!$B$51,tab!$B$54)</f>
        <v>0.4</v>
      </c>
      <c r="AG32" s="1097">
        <f t="shared" si="9"/>
        <v>0</v>
      </c>
      <c r="AH32" s="1093">
        <f t="shared" si="10"/>
        <v>0</v>
      </c>
    </row>
    <row r="33" spans="2:34" ht="12.75" customHeight="1" x14ac:dyDescent="0.3">
      <c r="B33" s="89"/>
      <c r="C33" s="114"/>
      <c r="D33" s="353"/>
      <c r="E33" s="388"/>
      <c r="F33" s="684"/>
      <c r="G33" s="710"/>
      <c r="H33" s="684"/>
      <c r="I33" s="389"/>
      <c r="J33" s="711"/>
      <c r="K33" s="370"/>
      <c r="L33" s="1049"/>
      <c r="M33" s="1049"/>
      <c r="N33" s="1051" t="str">
        <f t="shared" si="11"/>
        <v/>
      </c>
      <c r="O33" s="1051"/>
      <c r="P33" s="1125" t="str">
        <f t="shared" si="12"/>
        <v/>
      </c>
      <c r="Q33" s="472"/>
      <c r="R33" s="923" t="str">
        <f t="shared" si="13"/>
        <v/>
      </c>
      <c r="S33" s="923" t="str">
        <f t="shared" si="14"/>
        <v/>
      </c>
      <c r="T33" s="925" t="str">
        <f t="shared" si="15"/>
        <v/>
      </c>
      <c r="U33" s="545"/>
      <c r="V33" s="712"/>
      <c r="W33" s="957"/>
      <c r="X33" s="1060"/>
      <c r="Y33" s="1095" t="e">
        <f t="shared" si="16"/>
        <v>#N/A</v>
      </c>
      <c r="Z33" s="1094">
        <f>tab!$B$50</f>
        <v>0.6</v>
      </c>
      <c r="AA33" s="1126" t="e">
        <f t="shared" si="17"/>
        <v>#N/A</v>
      </c>
      <c r="AB33" s="1126" t="e">
        <f t="shared" si="18"/>
        <v>#N/A</v>
      </c>
      <c r="AC33" s="1126" t="e">
        <f t="shared" si="19"/>
        <v>#N/A</v>
      </c>
      <c r="AD33" s="1128" t="e">
        <f t="shared" si="20"/>
        <v>#VALUE!</v>
      </c>
      <c r="AE33" s="1128">
        <f t="shared" si="21"/>
        <v>0</v>
      </c>
      <c r="AF33" s="1096">
        <f>IF(H33&gt;8,tab!$B$51,tab!$B$54)</f>
        <v>0.4</v>
      </c>
      <c r="AG33" s="1097">
        <f t="shared" si="9"/>
        <v>0</v>
      </c>
      <c r="AH33" s="1093">
        <f t="shared" si="10"/>
        <v>0</v>
      </c>
    </row>
    <row r="34" spans="2:34" ht="12.75" customHeight="1" x14ac:dyDescent="0.3">
      <c r="B34" s="89"/>
      <c r="C34" s="114"/>
      <c r="D34" s="353"/>
      <c r="E34" s="388"/>
      <c r="F34" s="105"/>
      <c r="G34" s="354"/>
      <c r="H34" s="684"/>
      <c r="I34" s="355"/>
      <c r="J34" s="356"/>
      <c r="K34" s="370"/>
      <c r="L34" s="1049"/>
      <c r="M34" s="1049"/>
      <c r="N34" s="1051" t="str">
        <f t="shared" si="11"/>
        <v/>
      </c>
      <c r="O34" s="1051"/>
      <c r="P34" s="1125" t="str">
        <f t="shared" si="12"/>
        <v/>
      </c>
      <c r="Q34" s="472"/>
      <c r="R34" s="923" t="str">
        <f t="shared" si="13"/>
        <v/>
      </c>
      <c r="S34" s="923" t="str">
        <f t="shared" si="14"/>
        <v/>
      </c>
      <c r="T34" s="925" t="str">
        <f t="shared" si="15"/>
        <v/>
      </c>
      <c r="U34" s="545"/>
      <c r="V34" s="712"/>
      <c r="W34" s="957"/>
      <c r="X34" s="1060"/>
      <c r="Y34" s="1095" t="e">
        <f t="shared" si="16"/>
        <v>#N/A</v>
      </c>
      <c r="Z34" s="1094">
        <f>tab!$B$50</f>
        <v>0.6</v>
      </c>
      <c r="AA34" s="1126" t="e">
        <f t="shared" si="17"/>
        <v>#N/A</v>
      </c>
      <c r="AB34" s="1126" t="e">
        <f t="shared" si="18"/>
        <v>#N/A</v>
      </c>
      <c r="AC34" s="1126" t="e">
        <f t="shared" si="19"/>
        <v>#N/A</v>
      </c>
      <c r="AD34" s="1128" t="e">
        <f t="shared" si="20"/>
        <v>#VALUE!</v>
      </c>
      <c r="AE34" s="1128">
        <f t="shared" si="21"/>
        <v>0</v>
      </c>
      <c r="AF34" s="1096">
        <f>IF(H34&gt;8,tab!$B$51,tab!$B$54)</f>
        <v>0.4</v>
      </c>
      <c r="AG34" s="1097">
        <f t="shared" si="9"/>
        <v>0</v>
      </c>
      <c r="AH34" s="1093">
        <f t="shared" si="10"/>
        <v>0</v>
      </c>
    </row>
    <row r="35" spans="2:34" ht="12.75" customHeight="1" x14ac:dyDescent="0.3">
      <c r="B35" s="89"/>
      <c r="C35" s="114"/>
      <c r="D35" s="353"/>
      <c r="E35" s="388"/>
      <c r="F35" s="105"/>
      <c r="G35" s="354"/>
      <c r="H35" s="684"/>
      <c r="I35" s="355"/>
      <c r="J35" s="356"/>
      <c r="K35" s="370"/>
      <c r="L35" s="1049"/>
      <c r="M35" s="1049"/>
      <c r="N35" s="1051" t="str">
        <f t="shared" si="11"/>
        <v/>
      </c>
      <c r="O35" s="1051"/>
      <c r="P35" s="1125" t="str">
        <f t="shared" si="12"/>
        <v/>
      </c>
      <c r="Q35" s="472"/>
      <c r="R35" s="923" t="str">
        <f t="shared" si="13"/>
        <v/>
      </c>
      <c r="S35" s="923" t="str">
        <f t="shared" si="14"/>
        <v/>
      </c>
      <c r="T35" s="925" t="str">
        <f t="shared" si="15"/>
        <v/>
      </c>
      <c r="U35" s="545"/>
      <c r="V35" s="712"/>
      <c r="W35" s="957"/>
      <c r="X35" s="1060"/>
      <c r="Y35" s="1095" t="e">
        <f t="shared" si="16"/>
        <v>#N/A</v>
      </c>
      <c r="Z35" s="1094">
        <f>tab!$B$50</f>
        <v>0.6</v>
      </c>
      <c r="AA35" s="1126" t="e">
        <f t="shared" si="17"/>
        <v>#N/A</v>
      </c>
      <c r="AB35" s="1126" t="e">
        <f t="shared" si="18"/>
        <v>#N/A</v>
      </c>
      <c r="AC35" s="1126" t="e">
        <f t="shared" si="19"/>
        <v>#N/A</v>
      </c>
      <c r="AD35" s="1128" t="e">
        <f t="shared" si="20"/>
        <v>#VALUE!</v>
      </c>
      <c r="AE35" s="1128">
        <f t="shared" si="21"/>
        <v>0</v>
      </c>
      <c r="AF35" s="1096">
        <f>IF(H35&gt;8,tab!$B$51,tab!$B$54)</f>
        <v>0.4</v>
      </c>
      <c r="AG35" s="1097">
        <f t="shared" si="9"/>
        <v>0</v>
      </c>
      <c r="AH35" s="1093">
        <f t="shared" si="10"/>
        <v>0</v>
      </c>
    </row>
    <row r="36" spans="2:34" ht="12.75" customHeight="1" x14ac:dyDescent="0.3">
      <c r="B36" s="89"/>
      <c r="C36" s="114"/>
      <c r="D36" s="353"/>
      <c r="E36" s="388"/>
      <c r="F36" s="105"/>
      <c r="G36" s="354"/>
      <c r="H36" s="684"/>
      <c r="I36" s="355"/>
      <c r="J36" s="356"/>
      <c r="K36" s="370"/>
      <c r="L36" s="1049"/>
      <c r="M36" s="1049"/>
      <c r="N36" s="1051" t="str">
        <f t="shared" si="11"/>
        <v/>
      </c>
      <c r="O36" s="1051"/>
      <c r="P36" s="1125" t="str">
        <f t="shared" si="12"/>
        <v/>
      </c>
      <c r="Q36" s="472"/>
      <c r="R36" s="923" t="str">
        <f t="shared" si="13"/>
        <v/>
      </c>
      <c r="S36" s="923" t="str">
        <f t="shared" si="14"/>
        <v/>
      </c>
      <c r="T36" s="925" t="str">
        <f t="shared" si="15"/>
        <v/>
      </c>
      <c r="U36" s="545"/>
      <c r="V36" s="712"/>
      <c r="W36" s="957"/>
      <c r="X36" s="1060"/>
      <c r="Y36" s="1095" t="e">
        <f t="shared" si="16"/>
        <v>#N/A</v>
      </c>
      <c r="Z36" s="1094">
        <f>tab!$B$50</f>
        <v>0.6</v>
      </c>
      <c r="AA36" s="1126" t="e">
        <f t="shared" si="17"/>
        <v>#N/A</v>
      </c>
      <c r="AB36" s="1126" t="e">
        <f t="shared" si="18"/>
        <v>#N/A</v>
      </c>
      <c r="AC36" s="1126" t="e">
        <f t="shared" si="19"/>
        <v>#N/A</v>
      </c>
      <c r="AD36" s="1128" t="e">
        <f t="shared" si="20"/>
        <v>#VALUE!</v>
      </c>
      <c r="AE36" s="1128">
        <f t="shared" si="21"/>
        <v>0</v>
      </c>
      <c r="AF36" s="1096">
        <f>IF(H36&gt;8,tab!$B$51,tab!$B$54)</f>
        <v>0.4</v>
      </c>
      <c r="AG36" s="1097">
        <f t="shared" si="9"/>
        <v>0</v>
      </c>
      <c r="AH36" s="1093">
        <f t="shared" si="10"/>
        <v>0</v>
      </c>
    </row>
    <row r="37" spans="2:34" ht="12.75" customHeight="1" x14ac:dyDescent="0.3">
      <c r="B37" s="89"/>
      <c r="C37" s="114"/>
      <c r="D37" s="353"/>
      <c r="E37" s="388"/>
      <c r="F37" s="105"/>
      <c r="G37" s="354"/>
      <c r="H37" s="684"/>
      <c r="I37" s="355"/>
      <c r="J37" s="356"/>
      <c r="K37" s="370"/>
      <c r="L37" s="1049"/>
      <c r="M37" s="1049"/>
      <c r="N37" s="1051" t="str">
        <f t="shared" si="11"/>
        <v/>
      </c>
      <c r="O37" s="1051"/>
      <c r="P37" s="1125" t="str">
        <f t="shared" si="12"/>
        <v/>
      </c>
      <c r="Q37" s="472"/>
      <c r="R37" s="923" t="str">
        <f t="shared" si="13"/>
        <v/>
      </c>
      <c r="S37" s="923" t="str">
        <f t="shared" si="14"/>
        <v/>
      </c>
      <c r="T37" s="925" t="str">
        <f t="shared" si="15"/>
        <v/>
      </c>
      <c r="U37" s="545"/>
      <c r="V37" s="712"/>
      <c r="W37" s="957"/>
      <c r="X37" s="1060"/>
      <c r="Y37" s="1095" t="e">
        <f t="shared" si="16"/>
        <v>#N/A</v>
      </c>
      <c r="Z37" s="1094">
        <f>tab!$B$50</f>
        <v>0.6</v>
      </c>
      <c r="AA37" s="1126" t="e">
        <f t="shared" si="17"/>
        <v>#N/A</v>
      </c>
      <c r="AB37" s="1126" t="e">
        <f t="shared" si="18"/>
        <v>#N/A</v>
      </c>
      <c r="AC37" s="1126" t="e">
        <f t="shared" si="19"/>
        <v>#N/A</v>
      </c>
      <c r="AD37" s="1128" t="e">
        <f t="shared" si="20"/>
        <v>#VALUE!</v>
      </c>
      <c r="AE37" s="1128">
        <f t="shared" si="21"/>
        <v>0</v>
      </c>
      <c r="AF37" s="1096">
        <f>IF(H37&gt;8,tab!$B$51,tab!$B$54)</f>
        <v>0.4</v>
      </c>
      <c r="AG37" s="1097">
        <f t="shared" si="9"/>
        <v>0</v>
      </c>
      <c r="AH37" s="1093">
        <f t="shared" si="10"/>
        <v>0</v>
      </c>
    </row>
    <row r="38" spans="2:34" ht="12.75" customHeight="1" x14ac:dyDescent="0.3">
      <c r="B38" s="89"/>
      <c r="C38" s="114"/>
      <c r="D38" s="353"/>
      <c r="E38" s="388"/>
      <c r="F38" s="105"/>
      <c r="G38" s="354"/>
      <c r="H38" s="684"/>
      <c r="I38" s="355"/>
      <c r="J38" s="356"/>
      <c r="K38" s="370"/>
      <c r="L38" s="1049"/>
      <c r="M38" s="1049"/>
      <c r="N38" s="1051" t="str">
        <f t="shared" si="11"/>
        <v/>
      </c>
      <c r="O38" s="1051"/>
      <c r="P38" s="1125" t="str">
        <f t="shared" si="12"/>
        <v/>
      </c>
      <c r="Q38" s="472"/>
      <c r="R38" s="923" t="str">
        <f t="shared" si="13"/>
        <v/>
      </c>
      <c r="S38" s="923" t="str">
        <f t="shared" si="14"/>
        <v/>
      </c>
      <c r="T38" s="925" t="str">
        <f t="shared" si="15"/>
        <v/>
      </c>
      <c r="U38" s="545"/>
      <c r="V38" s="712"/>
      <c r="W38" s="957"/>
      <c r="X38" s="1060"/>
      <c r="Y38" s="1095" t="e">
        <f t="shared" si="16"/>
        <v>#N/A</v>
      </c>
      <c r="Z38" s="1094">
        <f>tab!$B$50</f>
        <v>0.6</v>
      </c>
      <c r="AA38" s="1126" t="e">
        <f t="shared" si="17"/>
        <v>#N/A</v>
      </c>
      <c r="AB38" s="1126" t="e">
        <f t="shared" si="18"/>
        <v>#N/A</v>
      </c>
      <c r="AC38" s="1126" t="e">
        <f t="shared" si="19"/>
        <v>#N/A</v>
      </c>
      <c r="AD38" s="1128" t="e">
        <f t="shared" si="20"/>
        <v>#VALUE!</v>
      </c>
      <c r="AE38" s="1128">
        <f t="shared" si="21"/>
        <v>0</v>
      </c>
      <c r="AF38" s="1096">
        <f>IF(H38&gt;8,tab!$B$51,tab!$B$54)</f>
        <v>0.4</v>
      </c>
      <c r="AG38" s="1097">
        <f t="shared" si="9"/>
        <v>0</v>
      </c>
      <c r="AH38" s="1093">
        <f t="shared" si="10"/>
        <v>0</v>
      </c>
    </row>
    <row r="39" spans="2:34" ht="12.75" customHeight="1" x14ac:dyDescent="0.3">
      <c r="B39" s="89"/>
      <c r="C39" s="114"/>
      <c r="D39" s="353"/>
      <c r="E39" s="388"/>
      <c r="F39" s="105"/>
      <c r="G39" s="354"/>
      <c r="H39" s="684"/>
      <c r="I39" s="355"/>
      <c r="J39" s="356"/>
      <c r="K39" s="370"/>
      <c r="L39" s="1049"/>
      <c r="M39" s="1049"/>
      <c r="N39" s="1051" t="str">
        <f t="shared" si="11"/>
        <v/>
      </c>
      <c r="O39" s="1051"/>
      <c r="P39" s="1125" t="str">
        <f t="shared" si="12"/>
        <v/>
      </c>
      <c r="Q39" s="472"/>
      <c r="R39" s="923" t="str">
        <f t="shared" si="13"/>
        <v/>
      </c>
      <c r="S39" s="923" t="str">
        <f t="shared" si="14"/>
        <v/>
      </c>
      <c r="T39" s="925" t="str">
        <f t="shared" si="15"/>
        <v/>
      </c>
      <c r="U39" s="545"/>
      <c r="V39" s="712"/>
      <c r="W39" s="957"/>
      <c r="X39" s="1060"/>
      <c r="Y39" s="1095" t="e">
        <f t="shared" si="16"/>
        <v>#N/A</v>
      </c>
      <c r="Z39" s="1094">
        <f>tab!$B$50</f>
        <v>0.6</v>
      </c>
      <c r="AA39" s="1126" t="e">
        <f t="shared" si="17"/>
        <v>#N/A</v>
      </c>
      <c r="AB39" s="1126" t="e">
        <f t="shared" si="18"/>
        <v>#N/A</v>
      </c>
      <c r="AC39" s="1126" t="e">
        <f t="shared" si="19"/>
        <v>#N/A</v>
      </c>
      <c r="AD39" s="1128" t="e">
        <f t="shared" si="20"/>
        <v>#VALUE!</v>
      </c>
      <c r="AE39" s="1128">
        <f t="shared" si="21"/>
        <v>0</v>
      </c>
      <c r="AF39" s="1096">
        <f>IF(H39&gt;8,tab!$B$51,tab!$B$54)</f>
        <v>0.4</v>
      </c>
      <c r="AG39" s="1097">
        <f t="shared" si="9"/>
        <v>0</v>
      </c>
      <c r="AH39" s="1093">
        <f t="shared" si="10"/>
        <v>0</v>
      </c>
    </row>
    <row r="40" spans="2:34" ht="12.75" customHeight="1" x14ac:dyDescent="0.3">
      <c r="B40" s="89"/>
      <c r="C40" s="114"/>
      <c r="D40" s="353"/>
      <c r="E40" s="388"/>
      <c r="F40" s="105"/>
      <c r="G40" s="354"/>
      <c r="H40" s="684"/>
      <c r="I40" s="355"/>
      <c r="J40" s="356"/>
      <c r="K40" s="370"/>
      <c r="L40" s="1049"/>
      <c r="M40" s="1049"/>
      <c r="N40" s="1051" t="str">
        <f t="shared" si="11"/>
        <v/>
      </c>
      <c r="O40" s="1051"/>
      <c r="P40" s="1125" t="str">
        <f t="shared" si="12"/>
        <v/>
      </c>
      <c r="Q40" s="472"/>
      <c r="R40" s="923" t="str">
        <f t="shared" si="13"/>
        <v/>
      </c>
      <c r="S40" s="923" t="str">
        <f t="shared" si="14"/>
        <v/>
      </c>
      <c r="T40" s="925" t="str">
        <f t="shared" si="15"/>
        <v/>
      </c>
      <c r="U40" s="545"/>
      <c r="V40" s="712"/>
      <c r="W40" s="957"/>
      <c r="X40" s="1060"/>
      <c r="Y40" s="1095" t="e">
        <f t="shared" si="16"/>
        <v>#N/A</v>
      </c>
      <c r="Z40" s="1094">
        <f>tab!$B$50</f>
        <v>0.6</v>
      </c>
      <c r="AA40" s="1126" t="e">
        <f t="shared" si="17"/>
        <v>#N/A</v>
      </c>
      <c r="AB40" s="1126" t="e">
        <f t="shared" si="18"/>
        <v>#N/A</v>
      </c>
      <c r="AC40" s="1126" t="e">
        <f t="shared" si="19"/>
        <v>#N/A</v>
      </c>
      <c r="AD40" s="1128" t="e">
        <f t="shared" si="20"/>
        <v>#VALUE!</v>
      </c>
      <c r="AE40" s="1128">
        <f t="shared" si="21"/>
        <v>0</v>
      </c>
      <c r="AF40" s="1096">
        <f>IF(H40&gt;8,tab!$B$51,tab!$B$54)</f>
        <v>0.4</v>
      </c>
      <c r="AG40" s="1097">
        <f t="shared" si="9"/>
        <v>0</v>
      </c>
      <c r="AH40" s="1093">
        <f t="shared" si="10"/>
        <v>0</v>
      </c>
    </row>
    <row r="41" spans="2:34" ht="12.75" customHeight="1" x14ac:dyDescent="0.3">
      <c r="B41" s="89"/>
      <c r="C41" s="114"/>
      <c r="D41" s="353"/>
      <c r="E41" s="388"/>
      <c r="F41" s="105"/>
      <c r="G41" s="354"/>
      <c r="H41" s="684"/>
      <c r="I41" s="355"/>
      <c r="J41" s="356"/>
      <c r="K41" s="370"/>
      <c r="L41" s="1049"/>
      <c r="M41" s="1049"/>
      <c r="N41" s="1051" t="str">
        <f t="shared" si="11"/>
        <v/>
      </c>
      <c r="O41" s="1051"/>
      <c r="P41" s="1125" t="str">
        <f t="shared" si="12"/>
        <v/>
      </c>
      <c r="Q41" s="472"/>
      <c r="R41" s="923" t="str">
        <f t="shared" si="13"/>
        <v/>
      </c>
      <c r="S41" s="923" t="str">
        <f t="shared" si="14"/>
        <v/>
      </c>
      <c r="T41" s="925" t="str">
        <f t="shared" si="15"/>
        <v/>
      </c>
      <c r="U41" s="545"/>
      <c r="V41" s="712"/>
      <c r="W41" s="957"/>
      <c r="X41" s="1060"/>
      <c r="Y41" s="1095" t="e">
        <f t="shared" si="16"/>
        <v>#N/A</v>
      </c>
      <c r="Z41" s="1094">
        <f>tab!$B$50</f>
        <v>0.6</v>
      </c>
      <c r="AA41" s="1126" t="e">
        <f t="shared" si="17"/>
        <v>#N/A</v>
      </c>
      <c r="AB41" s="1126" t="e">
        <f t="shared" si="18"/>
        <v>#N/A</v>
      </c>
      <c r="AC41" s="1126" t="e">
        <f t="shared" si="19"/>
        <v>#N/A</v>
      </c>
      <c r="AD41" s="1128" t="e">
        <f t="shared" si="20"/>
        <v>#VALUE!</v>
      </c>
      <c r="AE41" s="1128">
        <f t="shared" si="21"/>
        <v>0</v>
      </c>
      <c r="AF41" s="1096">
        <f>IF(H41&gt;8,tab!$B$51,tab!$B$54)</f>
        <v>0.4</v>
      </c>
      <c r="AG41" s="1097">
        <f t="shared" si="9"/>
        <v>0</v>
      </c>
      <c r="AH41" s="1093">
        <f t="shared" si="10"/>
        <v>0</v>
      </c>
    </row>
    <row r="42" spans="2:34" ht="12.75" customHeight="1" x14ac:dyDescent="0.3">
      <c r="B42" s="89"/>
      <c r="C42" s="114"/>
      <c r="D42" s="353"/>
      <c r="E42" s="388"/>
      <c r="F42" s="105"/>
      <c r="G42" s="354"/>
      <c r="H42" s="684"/>
      <c r="I42" s="355"/>
      <c r="J42" s="356"/>
      <c r="K42" s="370"/>
      <c r="L42" s="1049"/>
      <c r="M42" s="1049"/>
      <c r="N42" s="1051" t="str">
        <f t="shared" si="11"/>
        <v/>
      </c>
      <c r="O42" s="1051"/>
      <c r="P42" s="1125" t="str">
        <f t="shared" si="12"/>
        <v/>
      </c>
      <c r="Q42" s="472"/>
      <c r="R42" s="923" t="str">
        <f t="shared" si="13"/>
        <v/>
      </c>
      <c r="S42" s="923" t="str">
        <f t="shared" si="14"/>
        <v/>
      </c>
      <c r="T42" s="925" t="str">
        <f t="shared" si="15"/>
        <v/>
      </c>
      <c r="U42" s="545"/>
      <c r="V42" s="712"/>
      <c r="W42" s="957"/>
      <c r="X42" s="1060"/>
      <c r="Y42" s="1095" t="e">
        <f t="shared" si="16"/>
        <v>#N/A</v>
      </c>
      <c r="Z42" s="1094">
        <f>tab!$B$50</f>
        <v>0.6</v>
      </c>
      <c r="AA42" s="1126" t="e">
        <f t="shared" si="17"/>
        <v>#N/A</v>
      </c>
      <c r="AB42" s="1126" t="e">
        <f t="shared" si="18"/>
        <v>#N/A</v>
      </c>
      <c r="AC42" s="1126" t="e">
        <f t="shared" si="19"/>
        <v>#N/A</v>
      </c>
      <c r="AD42" s="1128" t="e">
        <f t="shared" si="20"/>
        <v>#VALUE!</v>
      </c>
      <c r="AE42" s="1128">
        <f t="shared" si="21"/>
        <v>0</v>
      </c>
      <c r="AF42" s="1096">
        <f>IF(H42&gt;8,tab!$B$51,tab!$B$54)</f>
        <v>0.4</v>
      </c>
      <c r="AG42" s="1097">
        <f t="shared" si="9"/>
        <v>0</v>
      </c>
      <c r="AH42" s="1093">
        <f t="shared" si="10"/>
        <v>0</v>
      </c>
    </row>
    <row r="43" spans="2:34" ht="12.75" customHeight="1" x14ac:dyDescent="0.3">
      <c r="B43" s="89"/>
      <c r="C43" s="114"/>
      <c r="D43" s="353"/>
      <c r="E43" s="388"/>
      <c r="F43" s="105"/>
      <c r="G43" s="354"/>
      <c r="H43" s="684"/>
      <c r="I43" s="355"/>
      <c r="J43" s="356"/>
      <c r="K43" s="370"/>
      <c r="L43" s="1049"/>
      <c r="M43" s="1049"/>
      <c r="N43" s="1051" t="str">
        <f t="shared" si="11"/>
        <v/>
      </c>
      <c r="O43" s="1051"/>
      <c r="P43" s="1125" t="str">
        <f t="shared" si="12"/>
        <v/>
      </c>
      <c r="Q43" s="472"/>
      <c r="R43" s="923" t="str">
        <f t="shared" si="13"/>
        <v/>
      </c>
      <c r="S43" s="923" t="str">
        <f t="shared" si="14"/>
        <v/>
      </c>
      <c r="T43" s="925" t="str">
        <f t="shared" si="15"/>
        <v/>
      </c>
      <c r="U43" s="545"/>
      <c r="V43" s="712"/>
      <c r="W43" s="957"/>
      <c r="X43" s="1060"/>
      <c r="Y43" s="1095" t="e">
        <f t="shared" si="16"/>
        <v>#N/A</v>
      </c>
      <c r="Z43" s="1094">
        <f>tab!$B$50</f>
        <v>0.6</v>
      </c>
      <c r="AA43" s="1126" t="e">
        <f t="shared" si="17"/>
        <v>#N/A</v>
      </c>
      <c r="AB43" s="1126" t="e">
        <f t="shared" si="18"/>
        <v>#N/A</v>
      </c>
      <c r="AC43" s="1126" t="e">
        <f t="shared" si="19"/>
        <v>#N/A</v>
      </c>
      <c r="AD43" s="1128" t="e">
        <f t="shared" si="20"/>
        <v>#VALUE!</v>
      </c>
      <c r="AE43" s="1128">
        <f t="shared" si="21"/>
        <v>0</v>
      </c>
      <c r="AF43" s="1096">
        <f>IF(H43&gt;8,tab!$B$51,tab!$B$54)</f>
        <v>0.4</v>
      </c>
      <c r="AG43" s="1097">
        <f t="shared" si="9"/>
        <v>0</v>
      </c>
      <c r="AH43" s="1093">
        <f t="shared" si="10"/>
        <v>0</v>
      </c>
    </row>
    <row r="44" spans="2:34" ht="12.75" customHeight="1" x14ac:dyDescent="0.3">
      <c r="B44" s="89"/>
      <c r="C44" s="114"/>
      <c r="D44" s="353"/>
      <c r="E44" s="388"/>
      <c r="F44" s="105"/>
      <c r="G44" s="354"/>
      <c r="H44" s="684"/>
      <c r="I44" s="355"/>
      <c r="J44" s="356"/>
      <c r="K44" s="370"/>
      <c r="L44" s="1049"/>
      <c r="M44" s="1049"/>
      <c r="N44" s="1051" t="str">
        <f t="shared" si="11"/>
        <v/>
      </c>
      <c r="O44" s="1051"/>
      <c r="P44" s="1125" t="str">
        <f t="shared" si="12"/>
        <v/>
      </c>
      <c r="Q44" s="472"/>
      <c r="R44" s="923" t="str">
        <f t="shared" si="13"/>
        <v/>
      </c>
      <c r="S44" s="923" t="str">
        <f t="shared" si="14"/>
        <v/>
      </c>
      <c r="T44" s="925" t="str">
        <f t="shared" si="15"/>
        <v/>
      </c>
      <c r="U44" s="545"/>
      <c r="V44" s="712"/>
      <c r="W44" s="957"/>
      <c r="X44" s="1060"/>
      <c r="Y44" s="1095" t="e">
        <f t="shared" si="16"/>
        <v>#N/A</v>
      </c>
      <c r="Z44" s="1094">
        <f>tab!$B$50</f>
        <v>0.6</v>
      </c>
      <c r="AA44" s="1126" t="e">
        <f t="shared" si="17"/>
        <v>#N/A</v>
      </c>
      <c r="AB44" s="1126" t="e">
        <f t="shared" si="18"/>
        <v>#N/A</v>
      </c>
      <c r="AC44" s="1126" t="e">
        <f t="shared" si="19"/>
        <v>#N/A</v>
      </c>
      <c r="AD44" s="1128" t="e">
        <f t="shared" si="20"/>
        <v>#VALUE!</v>
      </c>
      <c r="AE44" s="1128">
        <f t="shared" si="21"/>
        <v>0</v>
      </c>
      <c r="AF44" s="1096">
        <f>IF(H44&gt;8,tab!$B$51,tab!$B$54)</f>
        <v>0.4</v>
      </c>
      <c r="AG44" s="1097">
        <f t="shared" si="9"/>
        <v>0</v>
      </c>
      <c r="AH44" s="1093">
        <f t="shared" si="10"/>
        <v>0</v>
      </c>
    </row>
    <row r="45" spans="2:34" ht="12.75" customHeight="1" x14ac:dyDescent="0.3">
      <c r="B45" s="89"/>
      <c r="C45" s="114"/>
      <c r="D45" s="353"/>
      <c r="E45" s="388"/>
      <c r="F45" s="105"/>
      <c r="G45" s="354"/>
      <c r="H45" s="684"/>
      <c r="I45" s="355"/>
      <c r="J45" s="356"/>
      <c r="K45" s="370"/>
      <c r="L45" s="1049"/>
      <c r="M45" s="1049"/>
      <c r="N45" s="1051" t="str">
        <f t="shared" si="11"/>
        <v/>
      </c>
      <c r="O45" s="1051"/>
      <c r="P45" s="1125" t="str">
        <f t="shared" si="12"/>
        <v/>
      </c>
      <c r="Q45" s="472"/>
      <c r="R45" s="923" t="str">
        <f t="shared" si="13"/>
        <v/>
      </c>
      <c r="S45" s="923" t="str">
        <f t="shared" si="14"/>
        <v/>
      </c>
      <c r="T45" s="925" t="str">
        <f t="shared" si="15"/>
        <v/>
      </c>
      <c r="U45" s="545"/>
      <c r="V45" s="712"/>
      <c r="W45" s="957"/>
      <c r="X45" s="1060"/>
      <c r="Y45" s="1095" t="e">
        <f t="shared" si="16"/>
        <v>#N/A</v>
      </c>
      <c r="Z45" s="1094">
        <f>tab!$B$50</f>
        <v>0.6</v>
      </c>
      <c r="AA45" s="1126" t="e">
        <f t="shared" si="17"/>
        <v>#N/A</v>
      </c>
      <c r="AB45" s="1126" t="e">
        <f t="shared" si="18"/>
        <v>#N/A</v>
      </c>
      <c r="AC45" s="1126" t="e">
        <f t="shared" si="19"/>
        <v>#N/A</v>
      </c>
      <c r="AD45" s="1128" t="e">
        <f t="shared" si="20"/>
        <v>#VALUE!</v>
      </c>
      <c r="AE45" s="1128">
        <f t="shared" si="21"/>
        <v>0</v>
      </c>
      <c r="AF45" s="1096">
        <f>IF(H45&gt;8,tab!$B$51,tab!$B$54)</f>
        <v>0.4</v>
      </c>
      <c r="AG45" s="1097">
        <f t="shared" si="9"/>
        <v>0</v>
      </c>
      <c r="AH45" s="1093">
        <f t="shared" si="10"/>
        <v>0</v>
      </c>
    </row>
    <row r="46" spans="2:34" ht="12.75" customHeight="1" x14ac:dyDescent="0.3">
      <c r="B46" s="89"/>
      <c r="C46" s="114"/>
      <c r="D46" s="730"/>
      <c r="E46" s="731"/>
      <c r="F46" s="119"/>
      <c r="G46" s="683"/>
      <c r="H46" s="732"/>
      <c r="I46" s="369"/>
      <c r="J46" s="963">
        <f>SUM(J16:J45)</f>
        <v>1</v>
      </c>
      <c r="K46" s="715"/>
      <c r="L46" s="1062">
        <f t="shared" ref="L46:P46" si="22">SUM(L16:L45)</f>
        <v>0</v>
      </c>
      <c r="M46" s="1062">
        <f t="shared" si="22"/>
        <v>0</v>
      </c>
      <c r="N46" s="1039">
        <f>SUM(N16:N45)</f>
        <v>40</v>
      </c>
      <c r="O46" s="919"/>
      <c r="P46" s="1039">
        <f t="shared" si="22"/>
        <v>40</v>
      </c>
      <c r="Q46" s="715"/>
      <c r="R46" s="964">
        <f t="shared" ref="R46:T46" si="23">SUM(R16:R45)</f>
        <v>55291.596151898731</v>
      </c>
      <c r="S46" s="965">
        <f t="shared" si="23"/>
        <v>1366.0678481012658</v>
      </c>
      <c r="T46" s="962">
        <f t="shared" si="23"/>
        <v>56657.663999999997</v>
      </c>
      <c r="U46" s="117"/>
      <c r="V46" s="188"/>
      <c r="Y46" s="1095"/>
      <c r="Z46" s="1113"/>
      <c r="AA46" s="1113"/>
      <c r="AB46" s="1113"/>
      <c r="AC46" s="1113"/>
      <c r="AG46" s="1090">
        <f>SUM(AG16:AG45)</f>
        <v>0</v>
      </c>
      <c r="AH46" s="1114">
        <f>SUM(AH16:AH45)</f>
        <v>0</v>
      </c>
    </row>
    <row r="47" spans="2:34" ht="12.75" customHeight="1" x14ac:dyDescent="0.3">
      <c r="B47" s="89"/>
      <c r="C47" s="626"/>
      <c r="D47" s="234"/>
      <c r="E47" s="234"/>
      <c r="F47" s="671"/>
      <c r="G47" s="671"/>
      <c r="H47" s="671"/>
      <c r="I47" s="672"/>
      <c r="J47" s="673"/>
      <c r="K47" s="672"/>
      <c r="L47" s="672"/>
      <c r="M47" s="672"/>
      <c r="N47" s="673"/>
      <c r="O47" s="672"/>
      <c r="P47" s="672"/>
      <c r="Q47" s="672"/>
      <c r="R47" s="378"/>
      <c r="S47" s="379"/>
      <c r="T47" s="780"/>
      <c r="U47" s="674"/>
      <c r="V47" s="188"/>
      <c r="Y47" s="1115"/>
      <c r="Z47" s="1098"/>
      <c r="AA47" s="1098"/>
      <c r="AB47" s="1098"/>
      <c r="AC47" s="1098"/>
      <c r="AG47" s="1099"/>
      <c r="AH47" s="1100"/>
    </row>
    <row r="48" spans="2:34" ht="12.75" customHeight="1" x14ac:dyDescent="0.3">
      <c r="B48" s="655"/>
      <c r="C48" s="160"/>
      <c r="D48" s="656"/>
      <c r="E48" s="656"/>
      <c r="F48" s="657"/>
      <c r="G48" s="658"/>
      <c r="H48" s="657"/>
      <c r="I48" s="659"/>
      <c r="J48" s="660"/>
      <c r="K48" s="160"/>
      <c r="L48" s="661"/>
      <c r="M48" s="661"/>
      <c r="N48" s="660"/>
      <c r="O48" s="661"/>
      <c r="P48" s="661"/>
      <c r="Q48" s="160"/>
      <c r="R48" s="662"/>
      <c r="S48" s="663"/>
      <c r="T48" s="781"/>
      <c r="U48" s="160"/>
      <c r="V48" s="664"/>
      <c r="Y48" s="1112"/>
      <c r="Z48" s="1116"/>
      <c r="AA48" s="1116"/>
      <c r="AB48" s="1116"/>
      <c r="AC48" s="1116"/>
      <c r="AG48" s="1090"/>
      <c r="AH48" s="1114"/>
    </row>
    <row r="49" spans="2:42" ht="12.75" customHeight="1" x14ac:dyDescent="0.3">
      <c r="B49" s="56"/>
      <c r="C49" s="57"/>
      <c r="D49" s="85"/>
      <c r="E49" s="85"/>
      <c r="F49" s="86"/>
      <c r="G49" s="665"/>
      <c r="H49" s="86"/>
      <c r="I49" s="298"/>
      <c r="J49" s="666"/>
      <c r="K49" s="57"/>
      <c r="L49" s="299"/>
      <c r="M49" s="299"/>
      <c r="N49" s="666"/>
      <c r="O49" s="299"/>
      <c r="P49" s="299"/>
      <c r="Q49" s="57"/>
      <c r="R49" s="667"/>
      <c r="S49" s="493"/>
      <c r="T49" s="783"/>
      <c r="U49" s="57"/>
      <c r="V49" s="60"/>
      <c r="Y49" s="1095"/>
      <c r="Z49" s="1103"/>
      <c r="AA49" s="1103"/>
      <c r="AB49" s="1103"/>
      <c r="AC49" s="1103"/>
      <c r="AG49" s="1097"/>
      <c r="AH49" s="1093"/>
    </row>
    <row r="50" spans="2:42" ht="12.75" customHeight="1" x14ac:dyDescent="0.3">
      <c r="B50" s="61"/>
      <c r="C50" s="62"/>
      <c r="D50" s="78"/>
      <c r="E50" s="78"/>
      <c r="F50" s="79"/>
      <c r="G50" s="668"/>
      <c r="H50" s="79"/>
      <c r="I50" s="304"/>
      <c r="J50" s="669"/>
      <c r="K50" s="62"/>
      <c r="L50" s="305"/>
      <c r="M50" s="305"/>
      <c r="N50" s="669"/>
      <c r="O50" s="305"/>
      <c r="P50" s="305"/>
      <c r="Q50" s="62"/>
      <c r="R50" s="616"/>
      <c r="S50" s="198"/>
      <c r="T50" s="784"/>
      <c r="U50" s="62"/>
      <c r="V50" s="65"/>
      <c r="Y50" s="1095"/>
      <c r="Z50" s="1103"/>
      <c r="AA50" s="1103"/>
      <c r="AB50" s="1103"/>
      <c r="AC50" s="1103"/>
      <c r="AG50" s="1097"/>
      <c r="AH50" s="1093"/>
    </row>
    <row r="51" spans="2:42" ht="12.75" customHeight="1" x14ac:dyDescent="0.3">
      <c r="B51" s="61"/>
      <c r="C51" s="62" t="s">
        <v>180</v>
      </c>
      <c r="D51" s="78"/>
      <c r="E51" s="339" t="str">
        <f>dir!E30</f>
        <v>2020/21</v>
      </c>
      <c r="F51" s="79"/>
      <c r="G51" s="668"/>
      <c r="H51" s="79"/>
      <c r="I51" s="304"/>
      <c r="J51" s="669"/>
      <c r="K51" s="62"/>
      <c r="L51" s="305"/>
      <c r="M51" s="305"/>
      <c r="N51" s="669"/>
      <c r="O51" s="305"/>
      <c r="P51" s="305"/>
      <c r="Q51" s="62"/>
      <c r="R51" s="616"/>
      <c r="S51" s="198"/>
      <c r="T51" s="784"/>
      <c r="U51" s="62"/>
      <c r="V51" s="65"/>
      <c r="Y51" s="1095"/>
      <c r="Z51" s="1103"/>
      <c r="AA51" s="1103"/>
      <c r="AB51" s="1103"/>
      <c r="AC51" s="1103"/>
      <c r="AG51" s="1097"/>
      <c r="AH51" s="1093"/>
    </row>
    <row r="52" spans="2:42" ht="12.75" customHeight="1" x14ac:dyDescent="0.3">
      <c r="B52" s="61"/>
      <c r="C52" s="62" t="s">
        <v>193</v>
      </c>
      <c r="D52" s="78"/>
      <c r="E52" s="339">
        <f>dir!E31</f>
        <v>44197</v>
      </c>
      <c r="F52" s="79"/>
      <c r="G52" s="668"/>
      <c r="H52" s="79"/>
      <c r="I52" s="304"/>
      <c r="J52" s="669"/>
      <c r="K52" s="62"/>
      <c r="L52" s="305"/>
      <c r="M52" s="305"/>
      <c r="N52" s="669"/>
      <c r="O52" s="305"/>
      <c r="P52" s="305"/>
      <c r="Q52" s="62"/>
      <c r="R52" s="616"/>
      <c r="S52" s="198"/>
      <c r="T52" s="784"/>
      <c r="U52" s="62"/>
      <c r="V52" s="65"/>
      <c r="Y52" s="1095"/>
      <c r="Z52" s="1103"/>
      <c r="AA52" s="1103"/>
      <c r="AB52" s="1103"/>
      <c r="AC52" s="1103"/>
      <c r="AG52" s="1097"/>
      <c r="AH52" s="1093"/>
    </row>
    <row r="53" spans="2:42" ht="12.75" customHeight="1" x14ac:dyDescent="0.3">
      <c r="B53" s="61"/>
      <c r="C53" s="62"/>
      <c r="D53" s="78"/>
      <c r="E53" s="78"/>
      <c r="F53" s="79"/>
      <c r="G53" s="668"/>
      <c r="H53" s="79"/>
      <c r="I53" s="304"/>
      <c r="J53" s="669"/>
      <c r="K53" s="62"/>
      <c r="L53" s="305"/>
      <c r="M53" s="305"/>
      <c r="N53" s="669"/>
      <c r="O53" s="305"/>
      <c r="P53" s="305"/>
      <c r="Q53" s="62"/>
      <c r="R53" s="616"/>
      <c r="S53" s="198"/>
      <c r="T53" s="784"/>
      <c r="U53" s="62"/>
      <c r="V53" s="65"/>
      <c r="Y53" s="1095"/>
      <c r="Z53" s="1103"/>
      <c r="AA53" s="1103"/>
      <c r="AB53" s="1103"/>
      <c r="AC53" s="1103"/>
      <c r="AG53" s="1097"/>
      <c r="AH53" s="1093"/>
    </row>
    <row r="54" spans="2:42" ht="12.75" customHeight="1" x14ac:dyDescent="0.3">
      <c r="B54" s="61"/>
      <c r="C54" s="163"/>
      <c r="D54" s="961"/>
      <c r="E54" s="927"/>
      <c r="F54" s="928"/>
      <c r="G54" s="929"/>
      <c r="H54" s="930"/>
      <c r="I54" s="930"/>
      <c r="J54" s="931"/>
      <c r="K54" s="932"/>
      <c r="L54" s="930"/>
      <c r="M54" s="930"/>
      <c r="N54" s="931"/>
      <c r="O54" s="930"/>
      <c r="P54" s="930"/>
      <c r="Q54" s="932"/>
      <c r="R54" s="932"/>
      <c r="S54" s="933"/>
      <c r="T54" s="934"/>
      <c r="U54" s="109"/>
      <c r="V54" s="65"/>
      <c r="AE54" s="1077"/>
      <c r="AF54" s="1078"/>
      <c r="AI54" s="1077"/>
      <c r="AJ54" s="1089"/>
      <c r="AK54" s="270"/>
      <c r="AL54" s="271"/>
      <c r="AM54" s="283"/>
      <c r="AN54" s="18"/>
    </row>
    <row r="55" spans="2:42" s="129" customFormat="1" ht="12.75" customHeight="1" x14ac:dyDescent="0.3">
      <c r="B55" s="134"/>
      <c r="C55" s="382"/>
      <c r="D55" s="1033" t="s">
        <v>285</v>
      </c>
      <c r="E55" s="1033"/>
      <c r="F55" s="1033"/>
      <c r="G55" s="1033"/>
      <c r="H55" s="1033"/>
      <c r="I55" s="1033"/>
      <c r="J55" s="1033"/>
      <c r="K55" s="1034"/>
      <c r="L55" s="1033" t="s">
        <v>502</v>
      </c>
      <c r="M55" s="1035"/>
      <c r="N55" s="1033"/>
      <c r="O55" s="1033"/>
      <c r="P55" s="1133"/>
      <c r="Q55" s="902"/>
      <c r="R55" s="1033" t="s">
        <v>503</v>
      </c>
      <c r="S55" s="1036"/>
      <c r="T55" s="1134"/>
      <c r="U55" s="1135"/>
      <c r="V55" s="383"/>
      <c r="W55" s="384"/>
      <c r="X55" s="384"/>
      <c r="Y55" s="1063"/>
      <c r="Z55" s="1136"/>
      <c r="AA55" s="1063"/>
      <c r="AB55" s="1063"/>
      <c r="AC55" s="1063"/>
      <c r="AD55" s="1137"/>
      <c r="AE55" s="1137"/>
      <c r="AF55" s="1136"/>
      <c r="AG55" s="1090"/>
      <c r="AH55" s="1091"/>
      <c r="AI55" s="1063"/>
      <c r="AJ55" s="1063"/>
      <c r="AO55" s="384"/>
      <c r="AP55" s="384"/>
    </row>
    <row r="56" spans="2:42" s="129" customFormat="1" ht="12.75" customHeight="1" x14ac:dyDescent="0.3">
      <c r="B56" s="134"/>
      <c r="C56" s="382"/>
      <c r="D56" s="903" t="s">
        <v>494</v>
      </c>
      <c r="E56" s="877" t="s">
        <v>181</v>
      </c>
      <c r="F56" s="904" t="s">
        <v>137</v>
      </c>
      <c r="G56" s="905" t="s">
        <v>273</v>
      </c>
      <c r="H56" s="904" t="s">
        <v>206</v>
      </c>
      <c r="I56" s="904" t="s">
        <v>225</v>
      </c>
      <c r="J56" s="906" t="s">
        <v>140</v>
      </c>
      <c r="K56" s="914"/>
      <c r="L56" s="907" t="s">
        <v>479</v>
      </c>
      <c r="M56" s="907" t="s">
        <v>480</v>
      </c>
      <c r="N56" s="907" t="s">
        <v>478</v>
      </c>
      <c r="O56" s="907" t="s">
        <v>479</v>
      </c>
      <c r="P56" s="1138" t="s">
        <v>504</v>
      </c>
      <c r="Q56" s="881"/>
      <c r="R56" s="1037" t="s">
        <v>192</v>
      </c>
      <c r="S56" s="909" t="s">
        <v>505</v>
      </c>
      <c r="T56" s="910" t="s">
        <v>192</v>
      </c>
      <c r="U56" s="1139"/>
      <c r="V56" s="385"/>
      <c r="W56" s="386"/>
      <c r="X56" s="386"/>
      <c r="Y56" s="915" t="s">
        <v>303</v>
      </c>
      <c r="Z56" s="1127" t="s">
        <v>497</v>
      </c>
      <c r="AA56" s="1101" t="s">
        <v>498</v>
      </c>
      <c r="AB56" s="1101" t="s">
        <v>498</v>
      </c>
      <c r="AC56" s="1101" t="s">
        <v>495</v>
      </c>
      <c r="AD56" s="1048" t="s">
        <v>488</v>
      </c>
      <c r="AE56" s="1048" t="s">
        <v>489</v>
      </c>
      <c r="AF56" s="916" t="s">
        <v>490</v>
      </c>
      <c r="AG56" s="1092" t="s">
        <v>297</v>
      </c>
      <c r="AH56" s="1091" t="s">
        <v>427</v>
      </c>
      <c r="AI56" s="1063"/>
      <c r="AJ56" s="1063"/>
      <c r="AO56" s="384"/>
      <c r="AP56" s="386"/>
    </row>
    <row r="57" spans="2:42" s="129" customFormat="1" ht="12.75" customHeight="1" x14ac:dyDescent="0.3">
      <c r="B57" s="134"/>
      <c r="C57" s="382"/>
      <c r="D57" s="911"/>
      <c r="E57" s="877"/>
      <c r="F57" s="904" t="s">
        <v>138</v>
      </c>
      <c r="G57" s="905" t="s">
        <v>274</v>
      </c>
      <c r="H57" s="904"/>
      <c r="I57" s="904"/>
      <c r="J57" s="906" t="s">
        <v>452</v>
      </c>
      <c r="K57" s="914"/>
      <c r="L57" s="907" t="s">
        <v>482</v>
      </c>
      <c r="M57" s="907" t="s">
        <v>483</v>
      </c>
      <c r="N57" s="907" t="s">
        <v>481</v>
      </c>
      <c r="O57" s="907" t="s">
        <v>493</v>
      </c>
      <c r="P57" s="1138" t="s">
        <v>269</v>
      </c>
      <c r="Q57" s="881"/>
      <c r="R57" s="908" t="s">
        <v>506</v>
      </c>
      <c r="S57" s="909" t="s">
        <v>484</v>
      </c>
      <c r="T57" s="910" t="s">
        <v>269</v>
      </c>
      <c r="U57" s="887"/>
      <c r="V57" s="135"/>
      <c r="Y57" s="915" t="s">
        <v>197</v>
      </c>
      <c r="Z57" s="1129">
        <f>tab!B$50</f>
        <v>0.6</v>
      </c>
      <c r="AA57" s="1101" t="s">
        <v>499</v>
      </c>
      <c r="AB57" s="1101" t="s">
        <v>500</v>
      </c>
      <c r="AC57" s="1101" t="s">
        <v>501</v>
      </c>
      <c r="AD57" s="1048" t="s">
        <v>491</v>
      </c>
      <c r="AE57" s="1048" t="s">
        <v>491</v>
      </c>
      <c r="AF57" s="916" t="s">
        <v>492</v>
      </c>
      <c r="AG57" s="1092"/>
      <c r="AH57" s="1093" t="s">
        <v>224</v>
      </c>
      <c r="AI57" s="1063"/>
      <c r="AJ57" s="1063"/>
      <c r="AP57" s="675"/>
    </row>
    <row r="58" spans="2:42" ht="12.75" customHeight="1" x14ac:dyDescent="0.3">
      <c r="B58" s="61"/>
      <c r="C58" s="114"/>
      <c r="D58" s="912"/>
      <c r="E58" s="912"/>
      <c r="F58" s="912"/>
      <c r="G58" s="912"/>
      <c r="H58" s="912"/>
      <c r="I58" s="912"/>
      <c r="J58" s="912"/>
      <c r="K58" s="913"/>
      <c r="L58" s="912"/>
      <c r="M58" s="912"/>
      <c r="N58" s="912"/>
      <c r="O58" s="912"/>
      <c r="P58" s="912"/>
      <c r="Q58" s="913"/>
      <c r="R58" s="935"/>
      <c r="S58" s="917"/>
      <c r="T58" s="936"/>
      <c r="U58" s="113"/>
      <c r="V58" s="65"/>
      <c r="Y58" s="915"/>
      <c r="Z58" s="1064"/>
      <c r="AA58" s="1064"/>
      <c r="AB58" s="1064"/>
      <c r="AC58" s="1064"/>
      <c r="AE58" s="1063"/>
      <c r="AF58" s="1063"/>
      <c r="AG58" s="1092"/>
      <c r="AH58" s="1093"/>
      <c r="AM58" s="8"/>
      <c r="AN58" s="8"/>
      <c r="AP58" s="291"/>
    </row>
    <row r="59" spans="2:42" x14ac:dyDescent="0.3">
      <c r="B59" s="61"/>
      <c r="C59" s="114"/>
      <c r="D59" s="353" t="str">
        <f>IF(obp!D16="","",obp!D16)</f>
        <v/>
      </c>
      <c r="E59" s="388" t="str">
        <f>IF(obp!E16="","",obp!E16)</f>
        <v>nn</v>
      </c>
      <c r="F59" s="684" t="str">
        <f>IF(obp!F16="","",obp!F16+1)</f>
        <v/>
      </c>
      <c r="G59" s="710" t="str">
        <f>IF(obp!G16="","",obp!G16)</f>
        <v/>
      </c>
      <c r="H59" s="684">
        <f>IF(obp!H16=0,"",obp!H16)</f>
        <v>8</v>
      </c>
      <c r="I59" s="389">
        <f>IF(J59="","",(IF(obp!I16+1&gt;LOOKUP(H59,schaal2019,regels2019),obp!I16,obp!I16+1)))</f>
        <v>9</v>
      </c>
      <c r="J59" s="711">
        <f>IF(obp!J16="","",obp!J16)</f>
        <v>1</v>
      </c>
      <c r="K59" s="370"/>
      <c r="L59" s="1049">
        <f>IF(obp!L16="",0,obp!L16)</f>
        <v>0</v>
      </c>
      <c r="M59" s="1049">
        <f>IF(obp!M16="",0,obp!M16)</f>
        <v>0</v>
      </c>
      <c r="N59" s="1051">
        <f t="shared" ref="N59" si="24">IF(J59="","",IF((J59*40)&gt;40,40,((J59*40))))</f>
        <v>40</v>
      </c>
      <c r="O59" s="1051"/>
      <c r="P59" s="1125">
        <f t="shared" ref="P59" si="25">IF(J59="","",(SUM(L59:O59)))</f>
        <v>40</v>
      </c>
      <c r="Q59" s="472"/>
      <c r="R59" s="923">
        <f>IF(J59="","",(((1659*J59)-P59)*AB59))</f>
        <v>56436.056419529836</v>
      </c>
      <c r="S59" s="923">
        <f t="shared" ref="S59" si="26">IF(J59="","",(P59*AC59)+(AA59*AD59)+((AE59*AA59*(1-AF59))))</f>
        <v>1394.3435804701628</v>
      </c>
      <c r="T59" s="925">
        <f t="shared" ref="T59" si="27">IF(J59="","",(R59+S59))</f>
        <v>57830.400000000001</v>
      </c>
      <c r="U59" s="545"/>
      <c r="V59" s="712"/>
      <c r="W59" s="957"/>
      <c r="X59" s="1060"/>
      <c r="Y59" s="1095">
        <f t="shared" ref="Y59:Y88" si="28">ROUND(5/12*VLOOKUP(H59,salaris2019,I59+1,FALSE)+7/12*VLOOKUP(H59,salaris2020,I59+1,FALSE),0)</f>
        <v>3012</v>
      </c>
      <c r="Z59" s="1094">
        <f>tab!B$50</f>
        <v>0.6</v>
      </c>
      <c r="AA59" s="1126">
        <f t="shared" ref="AA59" si="29">(Y59*12/1659)</f>
        <v>21.786618444846294</v>
      </c>
      <c r="AB59" s="1126">
        <f t="shared" ref="AB59" si="30">(Y59*12*(1+Z59))/1659</f>
        <v>34.858589511754069</v>
      </c>
      <c r="AC59" s="1126">
        <f t="shared" ref="AC59" si="31">AB59-AA59</f>
        <v>13.071971066907775</v>
      </c>
      <c r="AD59" s="1128">
        <f t="shared" ref="AD59" si="32">(N59+O59)</f>
        <v>40</v>
      </c>
      <c r="AE59" s="1128">
        <f t="shared" ref="AE59" si="33">(L59+M59)</f>
        <v>0</v>
      </c>
      <c r="AF59" s="1096">
        <f>IF(H59&gt;8,tab!$B$51,tab!$B$54)</f>
        <v>0.4</v>
      </c>
      <c r="AG59" s="1097">
        <f t="shared" ref="AG59:AG88" si="34">IF(F59&lt;25,0,IF(F59=25,25,IF(F59&lt;40,0,IF(F59=40,40,IF(F59&gt;=40,0)))))</f>
        <v>0</v>
      </c>
      <c r="AH59" s="1093">
        <f t="shared" ref="AH59:AH88" si="35">IF(AG59=25,(Y59*1.08*(J59)/2),IF(AG59=40,(Y59*1.08*(J59)),IF(AG59=0,0)))</f>
        <v>0</v>
      </c>
      <c r="AK59" s="176"/>
    </row>
    <row r="60" spans="2:42" x14ac:dyDescent="0.3">
      <c r="B60" s="61"/>
      <c r="C60" s="114"/>
      <c r="D60" s="353" t="str">
        <f>IF(obp!D17="","",obp!D17)</f>
        <v/>
      </c>
      <c r="E60" s="388" t="str">
        <f>IF(obp!E17="","",obp!E17)</f>
        <v/>
      </c>
      <c r="F60" s="684" t="str">
        <f>IF(obp!F17="","",obp!F17+1)</f>
        <v/>
      </c>
      <c r="G60" s="710" t="str">
        <f>IF(obp!G17="","",obp!G17)</f>
        <v/>
      </c>
      <c r="H60" s="684" t="str">
        <f>IF(obp!H17=0,"",obp!H17)</f>
        <v/>
      </c>
      <c r="I60" s="389" t="str">
        <f>IF(J60="","",(IF(obp!I17+1&gt;LOOKUP(H60,schaal2019,regels2019),obp!I17,obp!I17+1)))</f>
        <v/>
      </c>
      <c r="J60" s="711" t="str">
        <f>IF(obp!J17="","",obp!J17)</f>
        <v/>
      </c>
      <c r="K60" s="370"/>
      <c r="L60" s="1049">
        <f>IF(obp!L17="",0,obp!L17)</f>
        <v>0</v>
      </c>
      <c r="M60" s="1049">
        <f>IF(obp!M17="",0,obp!M17)</f>
        <v>0</v>
      </c>
      <c r="N60" s="1051" t="str">
        <f t="shared" ref="N60:N88" si="36">IF(J60="","",IF((J60*40)&gt;40,40,((J60*40))))</f>
        <v/>
      </c>
      <c r="O60" s="1051"/>
      <c r="P60" s="1125" t="str">
        <f t="shared" ref="P60:P88" si="37">IF(J60="","",(SUM(L60:O60)))</f>
        <v/>
      </c>
      <c r="Q60" s="472"/>
      <c r="R60" s="923" t="str">
        <f t="shared" ref="R60:R88" si="38">IF(J60="","",(((1659*J60)-P60)*AB60))</f>
        <v/>
      </c>
      <c r="S60" s="923" t="str">
        <f t="shared" ref="S60:S88" si="39">IF(J60="","",(P60*AC60)+(AA60*AD60)+((AE60*AA60*(1-AF60))))</f>
        <v/>
      </c>
      <c r="T60" s="925" t="str">
        <f t="shared" ref="T60:T88" si="40">IF(J60="","",(R60+S60))</f>
        <v/>
      </c>
      <c r="U60" s="545"/>
      <c r="V60" s="712"/>
      <c r="W60" s="957"/>
      <c r="X60" s="1060"/>
      <c r="Y60" s="1095" t="e">
        <f t="shared" si="28"/>
        <v>#VALUE!</v>
      </c>
      <c r="Z60" s="1094">
        <f>tab!B$50</f>
        <v>0.6</v>
      </c>
      <c r="AA60" s="1126" t="e">
        <f t="shared" ref="AA60:AA88" si="41">(Y60*12/1659)</f>
        <v>#VALUE!</v>
      </c>
      <c r="AB60" s="1126" t="e">
        <f t="shared" ref="AB60:AB88" si="42">(Y60*12*(1+Z60))/1659</f>
        <v>#VALUE!</v>
      </c>
      <c r="AC60" s="1126" t="e">
        <f t="shared" ref="AC60:AC88" si="43">AB60-AA60</f>
        <v>#VALUE!</v>
      </c>
      <c r="AD60" s="1128" t="e">
        <f t="shared" ref="AD60:AD88" si="44">(N60+O60)</f>
        <v>#VALUE!</v>
      </c>
      <c r="AE60" s="1128">
        <f t="shared" ref="AE60:AE88" si="45">(L60+M60)</f>
        <v>0</v>
      </c>
      <c r="AF60" s="1096">
        <f>IF(H60&gt;8,tab!$B$51,tab!$B$54)</f>
        <v>0.5</v>
      </c>
      <c r="AG60" s="1097">
        <f t="shared" si="34"/>
        <v>0</v>
      </c>
      <c r="AH60" s="1093">
        <f t="shared" si="35"/>
        <v>0</v>
      </c>
      <c r="AK60" s="176"/>
    </row>
    <row r="61" spans="2:42" x14ac:dyDescent="0.3">
      <c r="B61" s="61"/>
      <c r="C61" s="114"/>
      <c r="D61" s="353" t="str">
        <f>IF(obp!D18="","",obp!D18)</f>
        <v/>
      </c>
      <c r="E61" s="388" t="str">
        <f>IF(obp!E18="","",obp!E18)</f>
        <v/>
      </c>
      <c r="F61" s="684" t="str">
        <f>IF(obp!F18="","",obp!F18+1)</f>
        <v/>
      </c>
      <c r="G61" s="710" t="str">
        <f>IF(obp!G18="","",obp!G18)</f>
        <v/>
      </c>
      <c r="H61" s="684" t="str">
        <f>IF(obp!H18=0,"",obp!H18)</f>
        <v/>
      </c>
      <c r="I61" s="389" t="str">
        <f>IF(J61="","",(IF(obp!I18+1&gt;LOOKUP(H61,schaal2019,regels2019),obp!I18,obp!I18+1)))</f>
        <v/>
      </c>
      <c r="J61" s="711" t="str">
        <f>IF(obp!J18="","",obp!J18)</f>
        <v/>
      </c>
      <c r="K61" s="370"/>
      <c r="L61" s="1049">
        <f>IF(obp!L18="",0,obp!L18)</f>
        <v>0</v>
      </c>
      <c r="M61" s="1049">
        <f>IF(obp!M18="",0,obp!M18)</f>
        <v>0</v>
      </c>
      <c r="N61" s="1051" t="str">
        <f t="shared" si="36"/>
        <v/>
      </c>
      <c r="O61" s="1051"/>
      <c r="P61" s="1125" t="str">
        <f t="shared" si="37"/>
        <v/>
      </c>
      <c r="Q61" s="472"/>
      <c r="R61" s="923" t="str">
        <f t="shared" si="38"/>
        <v/>
      </c>
      <c r="S61" s="923" t="str">
        <f t="shared" si="39"/>
        <v/>
      </c>
      <c r="T61" s="925" t="str">
        <f t="shared" si="40"/>
        <v/>
      </c>
      <c r="U61" s="545"/>
      <c r="V61" s="712"/>
      <c r="W61" s="957"/>
      <c r="X61" s="1060"/>
      <c r="Y61" s="1095" t="e">
        <f t="shared" si="28"/>
        <v>#VALUE!</v>
      </c>
      <c r="Z61" s="1094">
        <f>tab!B$50</f>
        <v>0.6</v>
      </c>
      <c r="AA61" s="1126" t="e">
        <f t="shared" si="41"/>
        <v>#VALUE!</v>
      </c>
      <c r="AB61" s="1126" t="e">
        <f t="shared" si="42"/>
        <v>#VALUE!</v>
      </c>
      <c r="AC61" s="1126" t="e">
        <f t="shared" si="43"/>
        <v>#VALUE!</v>
      </c>
      <c r="AD61" s="1128" t="e">
        <f t="shared" si="44"/>
        <v>#VALUE!</v>
      </c>
      <c r="AE61" s="1128">
        <f t="shared" si="45"/>
        <v>0</v>
      </c>
      <c r="AF61" s="1096">
        <f>IF(H61&gt;8,tab!$B$51,tab!$B$54)</f>
        <v>0.5</v>
      </c>
      <c r="AG61" s="1097">
        <f t="shared" si="34"/>
        <v>0</v>
      </c>
      <c r="AH61" s="1093">
        <f t="shared" si="35"/>
        <v>0</v>
      </c>
      <c r="AK61" s="176"/>
    </row>
    <row r="62" spans="2:42" x14ac:dyDescent="0.3">
      <c r="B62" s="61"/>
      <c r="C62" s="114"/>
      <c r="D62" s="353" t="str">
        <f>IF(obp!D19="","",obp!D19)</f>
        <v/>
      </c>
      <c r="E62" s="388" t="str">
        <f>IF(obp!E19="","",obp!E19)</f>
        <v/>
      </c>
      <c r="F62" s="684" t="str">
        <f>IF(obp!F19="","",obp!F19+1)</f>
        <v/>
      </c>
      <c r="G62" s="710" t="str">
        <f>IF(obp!G19="","",obp!G19)</f>
        <v/>
      </c>
      <c r="H62" s="684" t="str">
        <f>IF(obp!H19=0,"",obp!H19)</f>
        <v/>
      </c>
      <c r="I62" s="389" t="str">
        <f>IF(J62="","",(IF(obp!I19+1&gt;LOOKUP(H62,schaal2019,regels2019),obp!I19,obp!I19+1)))</f>
        <v/>
      </c>
      <c r="J62" s="711" t="str">
        <f>IF(obp!J19="","",obp!J19)</f>
        <v/>
      </c>
      <c r="K62" s="370"/>
      <c r="L62" s="1049">
        <f>IF(obp!L19="",0,obp!L19)</f>
        <v>0</v>
      </c>
      <c r="M62" s="1049">
        <f>IF(obp!M19="",0,obp!M19)</f>
        <v>0</v>
      </c>
      <c r="N62" s="1051" t="str">
        <f t="shared" si="36"/>
        <v/>
      </c>
      <c r="O62" s="1051"/>
      <c r="P62" s="1125" t="str">
        <f t="shared" si="37"/>
        <v/>
      </c>
      <c r="Q62" s="472"/>
      <c r="R62" s="923" t="str">
        <f t="shared" si="38"/>
        <v/>
      </c>
      <c r="S62" s="923" t="str">
        <f t="shared" si="39"/>
        <v/>
      </c>
      <c r="T62" s="925" t="str">
        <f t="shared" si="40"/>
        <v/>
      </c>
      <c r="U62" s="545"/>
      <c r="V62" s="712"/>
      <c r="W62" s="957"/>
      <c r="X62" s="1060"/>
      <c r="Y62" s="1095" t="e">
        <f t="shared" si="28"/>
        <v>#VALUE!</v>
      </c>
      <c r="Z62" s="1094">
        <f>tab!B$50</f>
        <v>0.6</v>
      </c>
      <c r="AA62" s="1126" t="e">
        <f t="shared" si="41"/>
        <v>#VALUE!</v>
      </c>
      <c r="AB62" s="1126" t="e">
        <f t="shared" si="42"/>
        <v>#VALUE!</v>
      </c>
      <c r="AC62" s="1126" t="e">
        <f t="shared" si="43"/>
        <v>#VALUE!</v>
      </c>
      <c r="AD62" s="1128" t="e">
        <f t="shared" si="44"/>
        <v>#VALUE!</v>
      </c>
      <c r="AE62" s="1128">
        <f t="shared" si="45"/>
        <v>0</v>
      </c>
      <c r="AF62" s="1096">
        <f>IF(H62&gt;8,tab!$B$51,tab!$B$54)</f>
        <v>0.5</v>
      </c>
      <c r="AG62" s="1097">
        <f t="shared" si="34"/>
        <v>0</v>
      </c>
      <c r="AH62" s="1093">
        <f t="shared" si="35"/>
        <v>0</v>
      </c>
      <c r="AK62" s="176"/>
    </row>
    <row r="63" spans="2:42" x14ac:dyDescent="0.3">
      <c r="B63" s="61"/>
      <c r="C63" s="114"/>
      <c r="D63" s="353" t="str">
        <f>IF(obp!D20="","",obp!D20)</f>
        <v/>
      </c>
      <c r="E63" s="388" t="str">
        <f>IF(obp!E20="","",obp!E20)</f>
        <v/>
      </c>
      <c r="F63" s="684" t="str">
        <f>IF(obp!F20="","",obp!F20+1)</f>
        <v/>
      </c>
      <c r="G63" s="710" t="str">
        <f>IF(obp!G20="","",obp!G20)</f>
        <v/>
      </c>
      <c r="H63" s="684" t="str">
        <f>IF(obp!H20=0,"",obp!H20)</f>
        <v/>
      </c>
      <c r="I63" s="389" t="str">
        <f>IF(J63="","",(IF(obp!I20+1&gt;LOOKUP(H63,schaal2019,regels2019),obp!I20,obp!I20+1)))</f>
        <v/>
      </c>
      <c r="J63" s="711" t="str">
        <f>IF(obp!J20="","",obp!J20)</f>
        <v/>
      </c>
      <c r="K63" s="370"/>
      <c r="L63" s="1049">
        <f>IF(obp!L20="",0,obp!L20)</f>
        <v>0</v>
      </c>
      <c r="M63" s="1049">
        <f>IF(obp!M20="",0,obp!M20)</f>
        <v>0</v>
      </c>
      <c r="N63" s="1051" t="str">
        <f t="shared" si="36"/>
        <v/>
      </c>
      <c r="O63" s="1051"/>
      <c r="P63" s="1125" t="str">
        <f t="shared" si="37"/>
        <v/>
      </c>
      <c r="Q63" s="472"/>
      <c r="R63" s="923" t="str">
        <f t="shared" si="38"/>
        <v/>
      </c>
      <c r="S63" s="923" t="str">
        <f t="shared" si="39"/>
        <v/>
      </c>
      <c r="T63" s="925" t="str">
        <f t="shared" si="40"/>
        <v/>
      </c>
      <c r="U63" s="545"/>
      <c r="V63" s="712"/>
      <c r="W63" s="957"/>
      <c r="X63" s="1060"/>
      <c r="Y63" s="1095" t="e">
        <f t="shared" si="28"/>
        <v>#VALUE!</v>
      </c>
      <c r="Z63" s="1094">
        <f>tab!B$50</f>
        <v>0.6</v>
      </c>
      <c r="AA63" s="1126" t="e">
        <f t="shared" si="41"/>
        <v>#VALUE!</v>
      </c>
      <c r="AB63" s="1126" t="e">
        <f t="shared" si="42"/>
        <v>#VALUE!</v>
      </c>
      <c r="AC63" s="1126" t="e">
        <f t="shared" si="43"/>
        <v>#VALUE!</v>
      </c>
      <c r="AD63" s="1128" t="e">
        <f t="shared" si="44"/>
        <v>#VALUE!</v>
      </c>
      <c r="AE63" s="1128">
        <f t="shared" si="45"/>
        <v>0</v>
      </c>
      <c r="AF63" s="1096">
        <f>IF(H63&gt;8,tab!$B$51,tab!$B$54)</f>
        <v>0.5</v>
      </c>
      <c r="AG63" s="1097">
        <f t="shared" si="34"/>
        <v>0</v>
      </c>
      <c r="AH63" s="1093">
        <f t="shared" si="35"/>
        <v>0</v>
      </c>
      <c r="AK63" s="176"/>
    </row>
    <row r="64" spans="2:42" x14ac:dyDescent="0.3">
      <c r="B64" s="61"/>
      <c r="C64" s="114"/>
      <c r="D64" s="353" t="str">
        <f>IF(obp!D21="","",obp!D21)</f>
        <v/>
      </c>
      <c r="E64" s="388" t="str">
        <f>IF(obp!E21="","",obp!E21)</f>
        <v/>
      </c>
      <c r="F64" s="684" t="str">
        <f>IF(obp!F21="","",obp!F21+1)</f>
        <v/>
      </c>
      <c r="G64" s="710" t="str">
        <f>IF(obp!G21="","",obp!G21)</f>
        <v/>
      </c>
      <c r="H64" s="684" t="str">
        <f>IF(obp!H21=0,"",obp!H21)</f>
        <v/>
      </c>
      <c r="I64" s="389" t="str">
        <f>IF(J64="","",(IF(obp!I21+1&gt;LOOKUP(H64,schaal2019,regels2019),obp!I21,obp!I21+1)))</f>
        <v/>
      </c>
      <c r="J64" s="711" t="str">
        <f>IF(obp!J21="","",obp!J21)</f>
        <v/>
      </c>
      <c r="K64" s="370"/>
      <c r="L64" s="1049">
        <f>IF(obp!L21="",0,obp!L21)</f>
        <v>0</v>
      </c>
      <c r="M64" s="1049">
        <f>IF(obp!M21="",0,obp!M21)</f>
        <v>0</v>
      </c>
      <c r="N64" s="1051" t="str">
        <f t="shared" si="36"/>
        <v/>
      </c>
      <c r="O64" s="1051"/>
      <c r="P64" s="1125" t="str">
        <f t="shared" si="37"/>
        <v/>
      </c>
      <c r="Q64" s="472"/>
      <c r="R64" s="923" t="str">
        <f t="shared" si="38"/>
        <v/>
      </c>
      <c r="S64" s="923" t="str">
        <f t="shared" si="39"/>
        <v/>
      </c>
      <c r="T64" s="925" t="str">
        <f t="shared" si="40"/>
        <v/>
      </c>
      <c r="U64" s="545"/>
      <c r="V64" s="712"/>
      <c r="W64" s="957"/>
      <c r="X64" s="1060"/>
      <c r="Y64" s="1095" t="e">
        <f t="shared" si="28"/>
        <v>#VALUE!</v>
      </c>
      <c r="Z64" s="1094">
        <f>tab!B$50</f>
        <v>0.6</v>
      </c>
      <c r="AA64" s="1126" t="e">
        <f t="shared" si="41"/>
        <v>#VALUE!</v>
      </c>
      <c r="AB64" s="1126" t="e">
        <f t="shared" si="42"/>
        <v>#VALUE!</v>
      </c>
      <c r="AC64" s="1126" t="e">
        <f t="shared" si="43"/>
        <v>#VALUE!</v>
      </c>
      <c r="AD64" s="1128" t="e">
        <f t="shared" si="44"/>
        <v>#VALUE!</v>
      </c>
      <c r="AE64" s="1128">
        <f t="shared" si="45"/>
        <v>0</v>
      </c>
      <c r="AF64" s="1096">
        <f>IF(H64&gt;8,tab!$B$51,tab!$B$54)</f>
        <v>0.5</v>
      </c>
      <c r="AG64" s="1097">
        <f t="shared" si="34"/>
        <v>0</v>
      </c>
      <c r="AH64" s="1093">
        <f t="shared" si="35"/>
        <v>0</v>
      </c>
      <c r="AK64" s="176"/>
    </row>
    <row r="65" spans="2:37" x14ac:dyDescent="0.3">
      <c r="B65" s="61"/>
      <c r="C65" s="114"/>
      <c r="D65" s="353" t="str">
        <f>IF(obp!D22="","",obp!D22)</f>
        <v/>
      </c>
      <c r="E65" s="388" t="str">
        <f>IF(obp!E22="","",obp!E22)</f>
        <v/>
      </c>
      <c r="F65" s="684" t="str">
        <f>IF(obp!F22="","",obp!F22+1)</f>
        <v/>
      </c>
      <c r="G65" s="710" t="str">
        <f>IF(obp!G22="","",obp!G22)</f>
        <v/>
      </c>
      <c r="H65" s="684" t="str">
        <f>IF(obp!H22=0,"",obp!H22)</f>
        <v/>
      </c>
      <c r="I65" s="389" t="str">
        <f>IF(J65="","",(IF(obp!I22+1&gt;LOOKUP(H65,schaal2019,regels2019),obp!I22,obp!I22+1)))</f>
        <v/>
      </c>
      <c r="J65" s="711" t="str">
        <f>IF(obp!J22="","",obp!J22)</f>
        <v/>
      </c>
      <c r="K65" s="370"/>
      <c r="L65" s="1049">
        <f>IF(obp!L22="",0,obp!L22)</f>
        <v>0</v>
      </c>
      <c r="M65" s="1049">
        <f>IF(obp!M22="",0,obp!M22)</f>
        <v>0</v>
      </c>
      <c r="N65" s="1051" t="str">
        <f t="shared" si="36"/>
        <v/>
      </c>
      <c r="O65" s="1051"/>
      <c r="P65" s="1125" t="str">
        <f t="shared" si="37"/>
        <v/>
      </c>
      <c r="Q65" s="472"/>
      <c r="R65" s="923" t="str">
        <f t="shared" si="38"/>
        <v/>
      </c>
      <c r="S65" s="923" t="str">
        <f t="shared" si="39"/>
        <v/>
      </c>
      <c r="T65" s="925" t="str">
        <f t="shared" si="40"/>
        <v/>
      </c>
      <c r="U65" s="545"/>
      <c r="V65" s="712"/>
      <c r="W65" s="957"/>
      <c r="X65" s="1060"/>
      <c r="Y65" s="1095" t="e">
        <f t="shared" si="28"/>
        <v>#VALUE!</v>
      </c>
      <c r="Z65" s="1094">
        <f>tab!B$50</f>
        <v>0.6</v>
      </c>
      <c r="AA65" s="1126" t="e">
        <f t="shared" si="41"/>
        <v>#VALUE!</v>
      </c>
      <c r="AB65" s="1126" t="e">
        <f t="shared" si="42"/>
        <v>#VALUE!</v>
      </c>
      <c r="AC65" s="1126" t="e">
        <f t="shared" si="43"/>
        <v>#VALUE!</v>
      </c>
      <c r="AD65" s="1128" t="e">
        <f t="shared" si="44"/>
        <v>#VALUE!</v>
      </c>
      <c r="AE65" s="1128">
        <f t="shared" si="45"/>
        <v>0</v>
      </c>
      <c r="AF65" s="1096">
        <f>IF(H65&gt;8,tab!$B$51,tab!$B$54)</f>
        <v>0.5</v>
      </c>
      <c r="AG65" s="1097">
        <f t="shared" si="34"/>
        <v>0</v>
      </c>
      <c r="AH65" s="1093">
        <f t="shared" si="35"/>
        <v>0</v>
      </c>
      <c r="AK65" s="176"/>
    </row>
    <row r="66" spans="2:37" x14ac:dyDescent="0.3">
      <c r="B66" s="61"/>
      <c r="C66" s="114"/>
      <c r="D66" s="353" t="str">
        <f>IF(obp!D23="","",obp!D23)</f>
        <v/>
      </c>
      <c r="E66" s="388" t="str">
        <f>IF(obp!E23="","",obp!E23)</f>
        <v/>
      </c>
      <c r="F66" s="684" t="str">
        <f>IF(obp!F23="","",obp!F23+1)</f>
        <v/>
      </c>
      <c r="G66" s="710" t="str">
        <f>IF(obp!G23="","",obp!G23)</f>
        <v/>
      </c>
      <c r="H66" s="684" t="str">
        <f>IF(obp!H23=0,"",obp!H23)</f>
        <v/>
      </c>
      <c r="I66" s="389" t="str">
        <f>IF(J66="","",(IF(obp!I23+1&gt;LOOKUP(H66,schaal2019,regels2019),obp!I23,obp!I23+1)))</f>
        <v/>
      </c>
      <c r="J66" s="711" t="str">
        <f>IF(obp!J23="","",obp!J23)</f>
        <v/>
      </c>
      <c r="K66" s="370"/>
      <c r="L66" s="1049">
        <f>IF(obp!L23="",0,obp!L23)</f>
        <v>0</v>
      </c>
      <c r="M66" s="1049">
        <f>IF(obp!M23="",0,obp!M23)</f>
        <v>0</v>
      </c>
      <c r="N66" s="1051" t="str">
        <f t="shared" si="36"/>
        <v/>
      </c>
      <c r="O66" s="1051"/>
      <c r="P66" s="1125" t="str">
        <f t="shared" si="37"/>
        <v/>
      </c>
      <c r="Q66" s="472"/>
      <c r="R66" s="923" t="str">
        <f t="shared" si="38"/>
        <v/>
      </c>
      <c r="S66" s="923" t="str">
        <f t="shared" si="39"/>
        <v/>
      </c>
      <c r="T66" s="925" t="str">
        <f t="shared" si="40"/>
        <v/>
      </c>
      <c r="U66" s="545"/>
      <c r="V66" s="712"/>
      <c r="W66" s="957"/>
      <c r="X66" s="1060"/>
      <c r="Y66" s="1095" t="e">
        <f t="shared" si="28"/>
        <v>#VALUE!</v>
      </c>
      <c r="Z66" s="1094">
        <f>tab!B$50</f>
        <v>0.6</v>
      </c>
      <c r="AA66" s="1126" t="e">
        <f t="shared" si="41"/>
        <v>#VALUE!</v>
      </c>
      <c r="AB66" s="1126" t="e">
        <f t="shared" si="42"/>
        <v>#VALUE!</v>
      </c>
      <c r="AC66" s="1126" t="e">
        <f t="shared" si="43"/>
        <v>#VALUE!</v>
      </c>
      <c r="AD66" s="1128" t="e">
        <f t="shared" si="44"/>
        <v>#VALUE!</v>
      </c>
      <c r="AE66" s="1128">
        <f t="shared" si="45"/>
        <v>0</v>
      </c>
      <c r="AF66" s="1096">
        <f>IF(H66&gt;8,tab!$B$51,tab!$B$54)</f>
        <v>0.5</v>
      </c>
      <c r="AG66" s="1097">
        <f t="shared" si="34"/>
        <v>0</v>
      </c>
      <c r="AH66" s="1093">
        <f t="shared" si="35"/>
        <v>0</v>
      </c>
      <c r="AK66" s="176"/>
    </row>
    <row r="67" spans="2:37" x14ac:dyDescent="0.3">
      <c r="B67" s="61"/>
      <c r="C67" s="114"/>
      <c r="D67" s="353" t="str">
        <f>IF(obp!D24="","",obp!D24)</f>
        <v/>
      </c>
      <c r="E67" s="388" t="str">
        <f>IF(obp!E24="","",obp!E24)</f>
        <v/>
      </c>
      <c r="F67" s="684" t="str">
        <f>IF(obp!F24="","",obp!F24+1)</f>
        <v/>
      </c>
      <c r="G67" s="710" t="str">
        <f>IF(obp!G24="","",obp!G24)</f>
        <v/>
      </c>
      <c r="H67" s="684" t="str">
        <f>IF(obp!H24=0,"",obp!H24)</f>
        <v/>
      </c>
      <c r="I67" s="389" t="str">
        <f>IF(J67="","",(IF(obp!I24+1&gt;LOOKUP(H67,schaal2019,regels2019),obp!I24,obp!I24+1)))</f>
        <v/>
      </c>
      <c r="J67" s="711" t="str">
        <f>IF(obp!J24="","",obp!J24)</f>
        <v/>
      </c>
      <c r="K67" s="370"/>
      <c r="L67" s="1049">
        <f>IF(obp!L24="",0,obp!L24)</f>
        <v>0</v>
      </c>
      <c r="M67" s="1049">
        <f>IF(obp!M24="",0,obp!M24)</f>
        <v>0</v>
      </c>
      <c r="N67" s="1051" t="str">
        <f t="shared" si="36"/>
        <v/>
      </c>
      <c r="O67" s="1051"/>
      <c r="P67" s="1125" t="str">
        <f t="shared" si="37"/>
        <v/>
      </c>
      <c r="Q67" s="472"/>
      <c r="R67" s="923" t="str">
        <f t="shared" si="38"/>
        <v/>
      </c>
      <c r="S67" s="923" t="str">
        <f t="shared" si="39"/>
        <v/>
      </c>
      <c r="T67" s="925" t="str">
        <f t="shared" si="40"/>
        <v/>
      </c>
      <c r="U67" s="545"/>
      <c r="V67" s="712"/>
      <c r="W67" s="957"/>
      <c r="X67" s="1060"/>
      <c r="Y67" s="1095" t="e">
        <f t="shared" si="28"/>
        <v>#VALUE!</v>
      </c>
      <c r="Z67" s="1094">
        <f>tab!B$50</f>
        <v>0.6</v>
      </c>
      <c r="AA67" s="1126" t="e">
        <f t="shared" si="41"/>
        <v>#VALUE!</v>
      </c>
      <c r="AB67" s="1126" t="e">
        <f t="shared" si="42"/>
        <v>#VALUE!</v>
      </c>
      <c r="AC67" s="1126" t="e">
        <f t="shared" si="43"/>
        <v>#VALUE!</v>
      </c>
      <c r="AD67" s="1128" t="e">
        <f t="shared" si="44"/>
        <v>#VALUE!</v>
      </c>
      <c r="AE67" s="1128">
        <f t="shared" si="45"/>
        <v>0</v>
      </c>
      <c r="AF67" s="1096">
        <f>IF(H67&gt;8,tab!$B$51,tab!$B$54)</f>
        <v>0.5</v>
      </c>
      <c r="AG67" s="1097">
        <f t="shared" si="34"/>
        <v>0</v>
      </c>
      <c r="AH67" s="1093">
        <f t="shared" si="35"/>
        <v>0</v>
      </c>
      <c r="AK67" s="176"/>
    </row>
    <row r="68" spans="2:37" x14ac:dyDescent="0.3">
      <c r="B68" s="61"/>
      <c r="C68" s="114"/>
      <c r="D68" s="353" t="str">
        <f>IF(obp!D25="","",obp!D25)</f>
        <v/>
      </c>
      <c r="E68" s="388" t="str">
        <f>IF(obp!E25="","",obp!E25)</f>
        <v/>
      </c>
      <c r="F68" s="684" t="str">
        <f>IF(obp!F25="","",obp!F25+1)</f>
        <v/>
      </c>
      <c r="G68" s="710" t="str">
        <f>IF(obp!G25="","",obp!G25)</f>
        <v/>
      </c>
      <c r="H68" s="684" t="str">
        <f>IF(obp!H25=0,"",obp!H25)</f>
        <v/>
      </c>
      <c r="I68" s="389" t="str">
        <f>IF(J68="","",(IF(obp!I25+1&gt;LOOKUP(H68,schaal2019,regels2019),obp!I25,obp!I25+1)))</f>
        <v/>
      </c>
      <c r="J68" s="711" t="str">
        <f>IF(obp!J25="","",obp!J25)</f>
        <v/>
      </c>
      <c r="K68" s="370"/>
      <c r="L68" s="1049">
        <f>IF(obp!L25="",0,obp!L25)</f>
        <v>0</v>
      </c>
      <c r="M68" s="1049">
        <f>IF(obp!M25="",0,obp!M25)</f>
        <v>0</v>
      </c>
      <c r="N68" s="1051" t="str">
        <f t="shared" si="36"/>
        <v/>
      </c>
      <c r="O68" s="1051"/>
      <c r="P68" s="1125" t="str">
        <f t="shared" si="37"/>
        <v/>
      </c>
      <c r="Q68" s="472"/>
      <c r="R68" s="923" t="str">
        <f t="shared" si="38"/>
        <v/>
      </c>
      <c r="S68" s="923" t="str">
        <f t="shared" si="39"/>
        <v/>
      </c>
      <c r="T68" s="925" t="str">
        <f t="shared" si="40"/>
        <v/>
      </c>
      <c r="U68" s="545"/>
      <c r="V68" s="712"/>
      <c r="W68" s="957"/>
      <c r="X68" s="1060"/>
      <c r="Y68" s="1095" t="e">
        <f t="shared" si="28"/>
        <v>#VALUE!</v>
      </c>
      <c r="Z68" s="1094">
        <f>tab!B$50</f>
        <v>0.6</v>
      </c>
      <c r="AA68" s="1126" t="e">
        <f t="shared" si="41"/>
        <v>#VALUE!</v>
      </c>
      <c r="AB68" s="1126" t="e">
        <f t="shared" si="42"/>
        <v>#VALUE!</v>
      </c>
      <c r="AC68" s="1126" t="e">
        <f t="shared" si="43"/>
        <v>#VALUE!</v>
      </c>
      <c r="AD68" s="1128" t="e">
        <f t="shared" si="44"/>
        <v>#VALUE!</v>
      </c>
      <c r="AE68" s="1128">
        <f t="shared" si="45"/>
        <v>0</v>
      </c>
      <c r="AF68" s="1096">
        <f>IF(H68&gt;8,tab!$B$51,tab!$B$54)</f>
        <v>0.5</v>
      </c>
      <c r="AG68" s="1097">
        <f t="shared" si="34"/>
        <v>0</v>
      </c>
      <c r="AH68" s="1093">
        <f t="shared" si="35"/>
        <v>0</v>
      </c>
      <c r="AK68" s="176"/>
    </row>
    <row r="69" spans="2:37" x14ac:dyDescent="0.3">
      <c r="B69" s="61"/>
      <c r="C69" s="114"/>
      <c r="D69" s="353" t="str">
        <f>IF(obp!D26="","",obp!D26)</f>
        <v/>
      </c>
      <c r="E69" s="388" t="str">
        <f>IF(obp!E26="","",obp!E26)</f>
        <v/>
      </c>
      <c r="F69" s="684" t="str">
        <f>IF(obp!F26="","",obp!F26+1)</f>
        <v/>
      </c>
      <c r="G69" s="710" t="str">
        <f>IF(obp!G26="","",obp!G26)</f>
        <v/>
      </c>
      <c r="H69" s="684" t="str">
        <f>IF(obp!H26=0,"",obp!H26)</f>
        <v/>
      </c>
      <c r="I69" s="389" t="str">
        <f>IF(J69="","",(IF(obp!I26+1&gt;LOOKUP(H69,schaal2019,regels2019),obp!I26,obp!I26+1)))</f>
        <v/>
      </c>
      <c r="J69" s="711" t="str">
        <f>IF(obp!J26="","",obp!J26)</f>
        <v/>
      </c>
      <c r="K69" s="370"/>
      <c r="L69" s="1049">
        <f>IF(obp!L26="",0,obp!L26)</f>
        <v>0</v>
      </c>
      <c r="M69" s="1049">
        <f>IF(obp!M26="",0,obp!M26)</f>
        <v>0</v>
      </c>
      <c r="N69" s="1051" t="str">
        <f t="shared" si="36"/>
        <v/>
      </c>
      <c r="O69" s="1051"/>
      <c r="P69" s="1125" t="str">
        <f t="shared" si="37"/>
        <v/>
      </c>
      <c r="Q69" s="472"/>
      <c r="R69" s="923" t="str">
        <f t="shared" si="38"/>
        <v/>
      </c>
      <c r="S69" s="923" t="str">
        <f t="shared" si="39"/>
        <v/>
      </c>
      <c r="T69" s="925" t="str">
        <f t="shared" si="40"/>
        <v/>
      </c>
      <c r="U69" s="545"/>
      <c r="V69" s="712"/>
      <c r="W69" s="957"/>
      <c r="X69" s="1060"/>
      <c r="Y69" s="1095" t="e">
        <f t="shared" si="28"/>
        <v>#VALUE!</v>
      </c>
      <c r="Z69" s="1094">
        <f>tab!B$50</f>
        <v>0.6</v>
      </c>
      <c r="AA69" s="1126" t="e">
        <f t="shared" si="41"/>
        <v>#VALUE!</v>
      </c>
      <c r="AB69" s="1126" t="e">
        <f t="shared" si="42"/>
        <v>#VALUE!</v>
      </c>
      <c r="AC69" s="1126" t="e">
        <f t="shared" si="43"/>
        <v>#VALUE!</v>
      </c>
      <c r="AD69" s="1128" t="e">
        <f t="shared" si="44"/>
        <v>#VALUE!</v>
      </c>
      <c r="AE69" s="1128">
        <f t="shared" si="45"/>
        <v>0</v>
      </c>
      <c r="AF69" s="1096">
        <f>IF(H69&gt;8,tab!$B$51,tab!$B$54)</f>
        <v>0.5</v>
      </c>
      <c r="AG69" s="1097">
        <f t="shared" si="34"/>
        <v>0</v>
      </c>
      <c r="AH69" s="1093">
        <f t="shared" si="35"/>
        <v>0</v>
      </c>
      <c r="AK69" s="176"/>
    </row>
    <row r="70" spans="2:37" x14ac:dyDescent="0.3">
      <c r="B70" s="61"/>
      <c r="C70" s="114"/>
      <c r="D70" s="353" t="str">
        <f>IF(obp!D27="","",obp!D27)</f>
        <v/>
      </c>
      <c r="E70" s="388" t="str">
        <f>IF(obp!E27="","",obp!E27)</f>
        <v/>
      </c>
      <c r="F70" s="684" t="str">
        <f>IF(obp!F27="","",obp!F27+1)</f>
        <v/>
      </c>
      <c r="G70" s="710" t="str">
        <f>IF(obp!G27="","",obp!G27)</f>
        <v/>
      </c>
      <c r="H70" s="684" t="str">
        <f>IF(obp!H27=0,"",obp!H27)</f>
        <v/>
      </c>
      <c r="I70" s="389" t="str">
        <f>IF(J70="","",(IF(obp!I27+1&gt;LOOKUP(H70,schaal2019,regels2019),obp!I27,obp!I27+1)))</f>
        <v/>
      </c>
      <c r="J70" s="711" t="str">
        <f>IF(obp!J27="","",obp!J27)</f>
        <v/>
      </c>
      <c r="K70" s="370"/>
      <c r="L70" s="1049">
        <f>IF(obp!L27="",0,obp!L27)</f>
        <v>0</v>
      </c>
      <c r="M70" s="1049">
        <f>IF(obp!M27="",0,obp!M27)</f>
        <v>0</v>
      </c>
      <c r="N70" s="1051" t="str">
        <f t="shared" si="36"/>
        <v/>
      </c>
      <c r="O70" s="1051"/>
      <c r="P70" s="1125" t="str">
        <f t="shared" si="37"/>
        <v/>
      </c>
      <c r="Q70" s="472"/>
      <c r="R70" s="923" t="str">
        <f t="shared" si="38"/>
        <v/>
      </c>
      <c r="S70" s="923" t="str">
        <f t="shared" si="39"/>
        <v/>
      </c>
      <c r="T70" s="925" t="str">
        <f t="shared" si="40"/>
        <v/>
      </c>
      <c r="U70" s="545"/>
      <c r="V70" s="712"/>
      <c r="W70" s="957"/>
      <c r="X70" s="1060"/>
      <c r="Y70" s="1095" t="e">
        <f t="shared" si="28"/>
        <v>#VALUE!</v>
      </c>
      <c r="Z70" s="1094">
        <f>tab!B$50</f>
        <v>0.6</v>
      </c>
      <c r="AA70" s="1126" t="e">
        <f t="shared" si="41"/>
        <v>#VALUE!</v>
      </c>
      <c r="AB70" s="1126" t="e">
        <f t="shared" si="42"/>
        <v>#VALUE!</v>
      </c>
      <c r="AC70" s="1126" t="e">
        <f t="shared" si="43"/>
        <v>#VALUE!</v>
      </c>
      <c r="AD70" s="1128" t="e">
        <f t="shared" si="44"/>
        <v>#VALUE!</v>
      </c>
      <c r="AE70" s="1128">
        <f t="shared" si="45"/>
        <v>0</v>
      </c>
      <c r="AF70" s="1096">
        <f>IF(H70&gt;8,tab!$B$51,tab!$B$54)</f>
        <v>0.5</v>
      </c>
      <c r="AG70" s="1097">
        <f t="shared" si="34"/>
        <v>0</v>
      </c>
      <c r="AH70" s="1093">
        <f t="shared" si="35"/>
        <v>0</v>
      </c>
      <c r="AK70" s="176"/>
    </row>
    <row r="71" spans="2:37" x14ac:dyDescent="0.3">
      <c r="B71" s="61"/>
      <c r="C71" s="114"/>
      <c r="D71" s="353" t="str">
        <f>IF(obp!D28="","",obp!D28)</f>
        <v/>
      </c>
      <c r="E71" s="388" t="str">
        <f>IF(obp!E28="","",obp!E28)</f>
        <v/>
      </c>
      <c r="F71" s="684" t="str">
        <f>IF(obp!F28="","",obp!F28+1)</f>
        <v/>
      </c>
      <c r="G71" s="710" t="str">
        <f>IF(obp!G28="","",obp!G28)</f>
        <v/>
      </c>
      <c r="H71" s="684" t="str">
        <f>IF(obp!H28=0,"",obp!H28)</f>
        <v/>
      </c>
      <c r="I71" s="389" t="str">
        <f>IF(J71="","",(IF(obp!I28+1&gt;LOOKUP(H71,schaal2019,regels2019),obp!I28,obp!I28+1)))</f>
        <v/>
      </c>
      <c r="J71" s="711" t="str">
        <f>IF(obp!J28="","",obp!J28)</f>
        <v/>
      </c>
      <c r="K71" s="370"/>
      <c r="L71" s="1049">
        <f>IF(obp!L28="",0,obp!L28)</f>
        <v>0</v>
      </c>
      <c r="M71" s="1049">
        <f>IF(obp!M28="",0,obp!M28)</f>
        <v>0</v>
      </c>
      <c r="N71" s="1051" t="str">
        <f t="shared" si="36"/>
        <v/>
      </c>
      <c r="O71" s="1051"/>
      <c r="P71" s="1125" t="str">
        <f t="shared" si="37"/>
        <v/>
      </c>
      <c r="Q71" s="472"/>
      <c r="R71" s="923" t="str">
        <f t="shared" si="38"/>
        <v/>
      </c>
      <c r="S71" s="923" t="str">
        <f t="shared" si="39"/>
        <v/>
      </c>
      <c r="T71" s="925" t="str">
        <f t="shared" si="40"/>
        <v/>
      </c>
      <c r="U71" s="545"/>
      <c r="V71" s="712"/>
      <c r="W71" s="957"/>
      <c r="X71" s="1060"/>
      <c r="Y71" s="1095" t="e">
        <f t="shared" si="28"/>
        <v>#VALUE!</v>
      </c>
      <c r="Z71" s="1094">
        <f>tab!B$50</f>
        <v>0.6</v>
      </c>
      <c r="AA71" s="1126" t="e">
        <f t="shared" si="41"/>
        <v>#VALUE!</v>
      </c>
      <c r="AB71" s="1126" t="e">
        <f t="shared" si="42"/>
        <v>#VALUE!</v>
      </c>
      <c r="AC71" s="1126" t="e">
        <f t="shared" si="43"/>
        <v>#VALUE!</v>
      </c>
      <c r="AD71" s="1128" t="e">
        <f t="shared" si="44"/>
        <v>#VALUE!</v>
      </c>
      <c r="AE71" s="1128">
        <f t="shared" si="45"/>
        <v>0</v>
      </c>
      <c r="AF71" s="1096">
        <f>IF(H71&gt;8,tab!$B$51,tab!$B$54)</f>
        <v>0.5</v>
      </c>
      <c r="AG71" s="1097">
        <f t="shared" si="34"/>
        <v>0</v>
      </c>
      <c r="AH71" s="1093">
        <f t="shared" si="35"/>
        <v>0</v>
      </c>
      <c r="AK71" s="176"/>
    </row>
    <row r="72" spans="2:37" x14ac:dyDescent="0.3">
      <c r="B72" s="61"/>
      <c r="C72" s="114"/>
      <c r="D72" s="353" t="str">
        <f>IF(obp!D29="","",obp!D29)</f>
        <v/>
      </c>
      <c r="E72" s="388" t="str">
        <f>IF(obp!E29="","",obp!E29)</f>
        <v/>
      </c>
      <c r="F72" s="684" t="str">
        <f>IF(obp!F29="","",obp!F29+1)</f>
        <v/>
      </c>
      <c r="G72" s="710" t="str">
        <f>IF(obp!G29="","",obp!G29)</f>
        <v/>
      </c>
      <c r="H72" s="684" t="str">
        <f>IF(obp!H29=0,"",obp!H29)</f>
        <v/>
      </c>
      <c r="I72" s="389" t="str">
        <f>IF(J72="","",(IF(obp!I29+1&gt;LOOKUP(H72,schaal2019,regels2019),obp!I29,obp!I29+1)))</f>
        <v/>
      </c>
      <c r="J72" s="711" t="str">
        <f>IF(obp!J29="","",obp!J29)</f>
        <v/>
      </c>
      <c r="K72" s="370"/>
      <c r="L72" s="1049">
        <f>IF(obp!L29="",0,obp!L29)</f>
        <v>0</v>
      </c>
      <c r="M72" s="1049">
        <f>IF(obp!M29="",0,obp!M29)</f>
        <v>0</v>
      </c>
      <c r="N72" s="1051" t="str">
        <f t="shared" si="36"/>
        <v/>
      </c>
      <c r="O72" s="1051"/>
      <c r="P72" s="1125" t="str">
        <f t="shared" si="37"/>
        <v/>
      </c>
      <c r="Q72" s="472"/>
      <c r="R72" s="923" t="str">
        <f t="shared" si="38"/>
        <v/>
      </c>
      <c r="S72" s="923" t="str">
        <f t="shared" si="39"/>
        <v/>
      </c>
      <c r="T72" s="925" t="str">
        <f t="shared" si="40"/>
        <v/>
      </c>
      <c r="U72" s="545"/>
      <c r="V72" s="712"/>
      <c r="W72" s="957"/>
      <c r="X72" s="1060"/>
      <c r="Y72" s="1095" t="e">
        <f t="shared" si="28"/>
        <v>#VALUE!</v>
      </c>
      <c r="Z72" s="1094">
        <f>tab!B$50</f>
        <v>0.6</v>
      </c>
      <c r="AA72" s="1126" t="e">
        <f t="shared" si="41"/>
        <v>#VALUE!</v>
      </c>
      <c r="AB72" s="1126" t="e">
        <f t="shared" si="42"/>
        <v>#VALUE!</v>
      </c>
      <c r="AC72" s="1126" t="e">
        <f t="shared" si="43"/>
        <v>#VALUE!</v>
      </c>
      <c r="AD72" s="1128" t="e">
        <f t="shared" si="44"/>
        <v>#VALUE!</v>
      </c>
      <c r="AE72" s="1128">
        <f t="shared" si="45"/>
        <v>0</v>
      </c>
      <c r="AF72" s="1096">
        <f>IF(H72&gt;8,tab!$B$51,tab!$B$54)</f>
        <v>0.5</v>
      </c>
      <c r="AG72" s="1097">
        <f t="shared" si="34"/>
        <v>0</v>
      </c>
      <c r="AH72" s="1093">
        <f t="shared" si="35"/>
        <v>0</v>
      </c>
      <c r="AK72" s="176"/>
    </row>
    <row r="73" spans="2:37" x14ac:dyDescent="0.3">
      <c r="B73" s="61"/>
      <c r="C73" s="114"/>
      <c r="D73" s="353" t="str">
        <f>IF(obp!D30="","",obp!D30)</f>
        <v/>
      </c>
      <c r="E73" s="388" t="str">
        <f>IF(obp!E30="","",obp!E30)</f>
        <v/>
      </c>
      <c r="F73" s="684" t="str">
        <f>IF(obp!F30="","",obp!F30+1)</f>
        <v/>
      </c>
      <c r="G73" s="710" t="str">
        <f>IF(obp!G30="","",obp!G30)</f>
        <v/>
      </c>
      <c r="H73" s="684" t="str">
        <f>IF(obp!H30=0,"",obp!H30)</f>
        <v/>
      </c>
      <c r="I73" s="389" t="str">
        <f>IF(J73="","",(IF(obp!I30+1&gt;LOOKUP(H73,schaal2019,regels2019),obp!I30,obp!I30+1)))</f>
        <v/>
      </c>
      <c r="J73" s="711" t="str">
        <f>IF(obp!J30="","",obp!J30)</f>
        <v/>
      </c>
      <c r="K73" s="370"/>
      <c r="L73" s="1049">
        <f>IF(obp!L30="",0,obp!L30)</f>
        <v>0</v>
      </c>
      <c r="M73" s="1049">
        <f>IF(obp!M30="",0,obp!M30)</f>
        <v>0</v>
      </c>
      <c r="N73" s="1051" t="str">
        <f t="shared" si="36"/>
        <v/>
      </c>
      <c r="O73" s="1051"/>
      <c r="P73" s="1125" t="str">
        <f t="shared" si="37"/>
        <v/>
      </c>
      <c r="Q73" s="472"/>
      <c r="R73" s="923" t="str">
        <f t="shared" si="38"/>
        <v/>
      </c>
      <c r="S73" s="923" t="str">
        <f t="shared" si="39"/>
        <v/>
      </c>
      <c r="T73" s="925" t="str">
        <f t="shared" si="40"/>
        <v/>
      </c>
      <c r="U73" s="545"/>
      <c r="V73" s="712"/>
      <c r="W73" s="957"/>
      <c r="X73" s="1060"/>
      <c r="Y73" s="1095" t="e">
        <f t="shared" si="28"/>
        <v>#VALUE!</v>
      </c>
      <c r="Z73" s="1094">
        <f>tab!B$50</f>
        <v>0.6</v>
      </c>
      <c r="AA73" s="1126" t="e">
        <f t="shared" si="41"/>
        <v>#VALUE!</v>
      </c>
      <c r="AB73" s="1126" t="e">
        <f t="shared" si="42"/>
        <v>#VALUE!</v>
      </c>
      <c r="AC73" s="1126" t="e">
        <f t="shared" si="43"/>
        <v>#VALUE!</v>
      </c>
      <c r="AD73" s="1128" t="e">
        <f t="shared" si="44"/>
        <v>#VALUE!</v>
      </c>
      <c r="AE73" s="1128">
        <f t="shared" si="45"/>
        <v>0</v>
      </c>
      <c r="AF73" s="1096">
        <f>IF(H73&gt;8,tab!$B$51,tab!$B$54)</f>
        <v>0.5</v>
      </c>
      <c r="AG73" s="1097">
        <f t="shared" si="34"/>
        <v>0</v>
      </c>
      <c r="AH73" s="1093">
        <f t="shared" si="35"/>
        <v>0</v>
      </c>
      <c r="AK73" s="176"/>
    </row>
    <row r="74" spans="2:37" x14ac:dyDescent="0.3">
      <c r="B74" s="61"/>
      <c r="C74" s="114"/>
      <c r="D74" s="353" t="str">
        <f>IF(obp!D31="","",obp!D31)</f>
        <v/>
      </c>
      <c r="E74" s="388" t="str">
        <f>IF(obp!E31="","",obp!E31)</f>
        <v/>
      </c>
      <c r="F74" s="684" t="str">
        <f>IF(obp!F31="","",obp!F31+1)</f>
        <v/>
      </c>
      <c r="G74" s="710" t="str">
        <f>IF(obp!G31="","",obp!G31)</f>
        <v/>
      </c>
      <c r="H74" s="684" t="str">
        <f>IF(obp!H31=0,"",obp!H31)</f>
        <v/>
      </c>
      <c r="I74" s="389" t="str">
        <f>IF(J74="","",(IF(obp!I31+1&gt;LOOKUP(H74,schaal2019,regels2019),obp!I31,obp!I31+1)))</f>
        <v/>
      </c>
      <c r="J74" s="711" t="str">
        <f>IF(obp!J31="","",obp!J31)</f>
        <v/>
      </c>
      <c r="K74" s="370"/>
      <c r="L74" s="1049">
        <f>IF(obp!L31="",0,obp!L31)</f>
        <v>0</v>
      </c>
      <c r="M74" s="1049">
        <f>IF(obp!M31="",0,obp!M31)</f>
        <v>0</v>
      </c>
      <c r="N74" s="1051" t="str">
        <f t="shared" si="36"/>
        <v/>
      </c>
      <c r="O74" s="1051"/>
      <c r="P74" s="1125" t="str">
        <f t="shared" si="37"/>
        <v/>
      </c>
      <c r="Q74" s="472"/>
      <c r="R74" s="923" t="str">
        <f t="shared" si="38"/>
        <v/>
      </c>
      <c r="S74" s="923" t="str">
        <f t="shared" si="39"/>
        <v/>
      </c>
      <c r="T74" s="925" t="str">
        <f t="shared" si="40"/>
        <v/>
      </c>
      <c r="U74" s="545"/>
      <c r="V74" s="712"/>
      <c r="W74" s="957"/>
      <c r="X74" s="1060"/>
      <c r="Y74" s="1095" t="e">
        <f t="shared" si="28"/>
        <v>#VALUE!</v>
      </c>
      <c r="Z74" s="1094">
        <f>tab!B$50</f>
        <v>0.6</v>
      </c>
      <c r="AA74" s="1126" t="e">
        <f t="shared" si="41"/>
        <v>#VALUE!</v>
      </c>
      <c r="AB74" s="1126" t="e">
        <f t="shared" si="42"/>
        <v>#VALUE!</v>
      </c>
      <c r="AC74" s="1126" t="e">
        <f t="shared" si="43"/>
        <v>#VALUE!</v>
      </c>
      <c r="AD74" s="1128" t="e">
        <f t="shared" si="44"/>
        <v>#VALUE!</v>
      </c>
      <c r="AE74" s="1128">
        <f t="shared" si="45"/>
        <v>0</v>
      </c>
      <c r="AF74" s="1096">
        <f>IF(H74&gt;8,tab!$B$51,tab!$B$54)</f>
        <v>0.5</v>
      </c>
      <c r="AG74" s="1097">
        <f t="shared" si="34"/>
        <v>0</v>
      </c>
      <c r="AH74" s="1093">
        <f t="shared" si="35"/>
        <v>0</v>
      </c>
      <c r="AK74" s="176"/>
    </row>
    <row r="75" spans="2:37" x14ac:dyDescent="0.3">
      <c r="B75" s="61"/>
      <c r="C75" s="114"/>
      <c r="D75" s="353" t="str">
        <f>IF(obp!D32="","",obp!D32)</f>
        <v/>
      </c>
      <c r="E75" s="388" t="str">
        <f>IF(obp!E32="","",obp!E32)</f>
        <v/>
      </c>
      <c r="F75" s="684" t="str">
        <f>IF(obp!F32="","",obp!F32+1)</f>
        <v/>
      </c>
      <c r="G75" s="710" t="str">
        <f>IF(obp!G32="","",obp!G32)</f>
        <v/>
      </c>
      <c r="H75" s="684" t="str">
        <f>IF(obp!H32=0,"",obp!H32)</f>
        <v/>
      </c>
      <c r="I75" s="389" t="str">
        <f>IF(J75="","",(IF(obp!I32+1&gt;LOOKUP(H75,schaal2019,regels2019),obp!I32,obp!I32+1)))</f>
        <v/>
      </c>
      <c r="J75" s="711" t="str">
        <f>IF(obp!J32="","",obp!J32)</f>
        <v/>
      </c>
      <c r="K75" s="370"/>
      <c r="L75" s="1049">
        <f>IF(obp!L32="",0,obp!L32)</f>
        <v>0</v>
      </c>
      <c r="M75" s="1049">
        <f>IF(obp!M32="",0,obp!M32)</f>
        <v>0</v>
      </c>
      <c r="N75" s="1051" t="str">
        <f t="shared" si="36"/>
        <v/>
      </c>
      <c r="O75" s="1051"/>
      <c r="P75" s="1125" t="str">
        <f t="shared" si="37"/>
        <v/>
      </c>
      <c r="Q75" s="472"/>
      <c r="R75" s="923" t="str">
        <f t="shared" si="38"/>
        <v/>
      </c>
      <c r="S75" s="923" t="str">
        <f t="shared" si="39"/>
        <v/>
      </c>
      <c r="T75" s="925" t="str">
        <f t="shared" si="40"/>
        <v/>
      </c>
      <c r="U75" s="545"/>
      <c r="V75" s="712"/>
      <c r="W75" s="957"/>
      <c r="X75" s="1060"/>
      <c r="Y75" s="1095" t="e">
        <f t="shared" si="28"/>
        <v>#VALUE!</v>
      </c>
      <c r="Z75" s="1094">
        <f>tab!B$50</f>
        <v>0.6</v>
      </c>
      <c r="AA75" s="1126" t="e">
        <f t="shared" si="41"/>
        <v>#VALUE!</v>
      </c>
      <c r="AB75" s="1126" t="e">
        <f t="shared" si="42"/>
        <v>#VALUE!</v>
      </c>
      <c r="AC75" s="1126" t="e">
        <f t="shared" si="43"/>
        <v>#VALUE!</v>
      </c>
      <c r="AD75" s="1128" t="e">
        <f t="shared" si="44"/>
        <v>#VALUE!</v>
      </c>
      <c r="AE75" s="1128">
        <f t="shared" si="45"/>
        <v>0</v>
      </c>
      <c r="AF75" s="1096">
        <f>IF(H75&gt;8,tab!$B$51,tab!$B$54)</f>
        <v>0.5</v>
      </c>
      <c r="AG75" s="1097">
        <f t="shared" si="34"/>
        <v>0</v>
      </c>
      <c r="AH75" s="1093">
        <f t="shared" si="35"/>
        <v>0</v>
      </c>
      <c r="AK75" s="176"/>
    </row>
    <row r="76" spans="2:37" x14ac:dyDescent="0.3">
      <c r="B76" s="61"/>
      <c r="C76" s="114"/>
      <c r="D76" s="353" t="str">
        <f>IF(obp!D33="","",obp!D33)</f>
        <v/>
      </c>
      <c r="E76" s="388" t="str">
        <f>IF(obp!E33="","",obp!E33)</f>
        <v/>
      </c>
      <c r="F76" s="684" t="str">
        <f>IF(obp!F33="","",obp!F33+1)</f>
        <v/>
      </c>
      <c r="G76" s="710" t="str">
        <f>IF(obp!G33="","",obp!G33)</f>
        <v/>
      </c>
      <c r="H76" s="684" t="str">
        <f>IF(obp!H33=0,"",obp!H33)</f>
        <v/>
      </c>
      <c r="I76" s="389" t="str">
        <f>IF(J76="","",(IF(obp!I33+1&gt;LOOKUP(H76,schaal2019,regels2019),obp!I33,obp!I33+1)))</f>
        <v/>
      </c>
      <c r="J76" s="711" t="str">
        <f>IF(obp!J33="","",obp!J33)</f>
        <v/>
      </c>
      <c r="K76" s="370"/>
      <c r="L76" s="1049">
        <f>IF(obp!L33="",0,obp!L33)</f>
        <v>0</v>
      </c>
      <c r="M76" s="1049">
        <f>IF(obp!M33="",0,obp!M33)</f>
        <v>0</v>
      </c>
      <c r="N76" s="1051" t="str">
        <f t="shared" si="36"/>
        <v/>
      </c>
      <c r="O76" s="1051"/>
      <c r="P76" s="1125" t="str">
        <f t="shared" si="37"/>
        <v/>
      </c>
      <c r="Q76" s="472"/>
      <c r="R76" s="923" t="str">
        <f t="shared" si="38"/>
        <v/>
      </c>
      <c r="S76" s="923" t="str">
        <f t="shared" si="39"/>
        <v/>
      </c>
      <c r="T76" s="925" t="str">
        <f t="shared" si="40"/>
        <v/>
      </c>
      <c r="U76" s="545"/>
      <c r="V76" s="712"/>
      <c r="W76" s="957"/>
      <c r="X76" s="1060"/>
      <c r="Y76" s="1095" t="e">
        <f t="shared" si="28"/>
        <v>#VALUE!</v>
      </c>
      <c r="Z76" s="1094">
        <f>tab!B$50</f>
        <v>0.6</v>
      </c>
      <c r="AA76" s="1126" t="e">
        <f t="shared" si="41"/>
        <v>#VALUE!</v>
      </c>
      <c r="AB76" s="1126" t="e">
        <f t="shared" si="42"/>
        <v>#VALUE!</v>
      </c>
      <c r="AC76" s="1126" t="e">
        <f t="shared" si="43"/>
        <v>#VALUE!</v>
      </c>
      <c r="AD76" s="1128" t="e">
        <f t="shared" si="44"/>
        <v>#VALUE!</v>
      </c>
      <c r="AE76" s="1128">
        <f t="shared" si="45"/>
        <v>0</v>
      </c>
      <c r="AF76" s="1096">
        <f>IF(H76&gt;8,tab!$B$51,tab!$B$54)</f>
        <v>0.5</v>
      </c>
      <c r="AG76" s="1097">
        <f t="shared" si="34"/>
        <v>0</v>
      </c>
      <c r="AH76" s="1093">
        <f t="shared" si="35"/>
        <v>0</v>
      </c>
      <c r="AK76" s="176"/>
    </row>
    <row r="77" spans="2:37" x14ac:dyDescent="0.3">
      <c r="B77" s="61"/>
      <c r="C77" s="114"/>
      <c r="D77" s="353" t="str">
        <f>IF(obp!D34="","",obp!D34)</f>
        <v/>
      </c>
      <c r="E77" s="388" t="str">
        <f>IF(obp!E34="","",obp!E34)</f>
        <v/>
      </c>
      <c r="F77" s="105" t="str">
        <f>IF(obp!F34="","",obp!F34+1)</f>
        <v/>
      </c>
      <c r="G77" s="354" t="str">
        <f>IF(obp!G34="","",obp!G34)</f>
        <v/>
      </c>
      <c r="H77" s="684" t="str">
        <f>IF(obp!H34=0,"",obp!H34)</f>
        <v/>
      </c>
      <c r="I77" s="389" t="str">
        <f>IF(J77="","",(IF(obp!I34+1&gt;LOOKUP(H77,schaal2019,regels2019),obp!I34,obp!I34+1)))</f>
        <v/>
      </c>
      <c r="J77" s="356" t="str">
        <f>IF(obp!J34="","",obp!J34)</f>
        <v/>
      </c>
      <c r="K77" s="370"/>
      <c r="L77" s="1049">
        <f>IF(obp!L34="",0,obp!L34)</f>
        <v>0</v>
      </c>
      <c r="M77" s="1049">
        <f>IF(obp!M34="",0,obp!M34)</f>
        <v>0</v>
      </c>
      <c r="N77" s="1051" t="str">
        <f t="shared" si="36"/>
        <v/>
      </c>
      <c r="O77" s="1051"/>
      <c r="P77" s="1125" t="str">
        <f t="shared" si="37"/>
        <v/>
      </c>
      <c r="Q77" s="472"/>
      <c r="R77" s="923" t="str">
        <f t="shared" si="38"/>
        <v/>
      </c>
      <c r="S77" s="923" t="str">
        <f t="shared" si="39"/>
        <v/>
      </c>
      <c r="T77" s="925" t="str">
        <f t="shared" si="40"/>
        <v/>
      </c>
      <c r="U77" s="545"/>
      <c r="V77" s="712"/>
      <c r="W77" s="957"/>
      <c r="X77" s="1060"/>
      <c r="Y77" s="1095" t="e">
        <f t="shared" si="28"/>
        <v>#VALUE!</v>
      </c>
      <c r="Z77" s="1094">
        <f>tab!B$50</f>
        <v>0.6</v>
      </c>
      <c r="AA77" s="1126" t="e">
        <f t="shared" si="41"/>
        <v>#VALUE!</v>
      </c>
      <c r="AB77" s="1126" t="e">
        <f t="shared" si="42"/>
        <v>#VALUE!</v>
      </c>
      <c r="AC77" s="1126" t="e">
        <f t="shared" si="43"/>
        <v>#VALUE!</v>
      </c>
      <c r="AD77" s="1128" t="e">
        <f t="shared" si="44"/>
        <v>#VALUE!</v>
      </c>
      <c r="AE77" s="1128">
        <f t="shared" si="45"/>
        <v>0</v>
      </c>
      <c r="AF77" s="1096">
        <f>IF(H77&gt;8,tab!$B$51,tab!$B$54)</f>
        <v>0.5</v>
      </c>
      <c r="AG77" s="1097">
        <f t="shared" si="34"/>
        <v>0</v>
      </c>
      <c r="AH77" s="1093">
        <f t="shared" si="35"/>
        <v>0</v>
      </c>
      <c r="AK77" s="176"/>
    </row>
    <row r="78" spans="2:37" x14ac:dyDescent="0.3">
      <c r="B78" s="61"/>
      <c r="C78" s="114"/>
      <c r="D78" s="353" t="str">
        <f>IF(obp!D35="","",obp!D35)</f>
        <v/>
      </c>
      <c r="E78" s="388" t="str">
        <f>IF(obp!E35="","",obp!E35)</f>
        <v/>
      </c>
      <c r="F78" s="105" t="str">
        <f>IF(obp!F35="","",obp!F35+1)</f>
        <v/>
      </c>
      <c r="G78" s="354" t="str">
        <f>IF(obp!G35="","",obp!G35)</f>
        <v/>
      </c>
      <c r="H78" s="684" t="str">
        <f>IF(obp!H35=0,"",obp!H35)</f>
        <v/>
      </c>
      <c r="I78" s="389" t="str">
        <f>IF(J78="","",(IF(obp!I35+1&gt;LOOKUP(H78,schaal2019,regels2019),obp!I35,obp!I35+1)))</f>
        <v/>
      </c>
      <c r="J78" s="356" t="str">
        <f>IF(obp!J35="","",obp!J35)</f>
        <v/>
      </c>
      <c r="K78" s="370"/>
      <c r="L78" s="1049">
        <f>IF(obp!L35="",0,obp!L35)</f>
        <v>0</v>
      </c>
      <c r="M78" s="1049">
        <f>IF(obp!M35="",0,obp!M35)</f>
        <v>0</v>
      </c>
      <c r="N78" s="1051" t="str">
        <f t="shared" si="36"/>
        <v/>
      </c>
      <c r="O78" s="1051"/>
      <c r="P78" s="1125" t="str">
        <f t="shared" si="37"/>
        <v/>
      </c>
      <c r="Q78" s="472"/>
      <c r="R78" s="923" t="str">
        <f t="shared" si="38"/>
        <v/>
      </c>
      <c r="S78" s="923" t="str">
        <f t="shared" si="39"/>
        <v/>
      </c>
      <c r="T78" s="925" t="str">
        <f t="shared" si="40"/>
        <v/>
      </c>
      <c r="U78" s="545"/>
      <c r="V78" s="712"/>
      <c r="W78" s="957"/>
      <c r="X78" s="1060"/>
      <c r="Y78" s="1095" t="e">
        <f t="shared" si="28"/>
        <v>#VALUE!</v>
      </c>
      <c r="Z78" s="1094">
        <f>tab!B$50</f>
        <v>0.6</v>
      </c>
      <c r="AA78" s="1126" t="e">
        <f t="shared" si="41"/>
        <v>#VALUE!</v>
      </c>
      <c r="AB78" s="1126" t="e">
        <f t="shared" si="42"/>
        <v>#VALUE!</v>
      </c>
      <c r="AC78" s="1126" t="e">
        <f t="shared" si="43"/>
        <v>#VALUE!</v>
      </c>
      <c r="AD78" s="1128" t="e">
        <f t="shared" si="44"/>
        <v>#VALUE!</v>
      </c>
      <c r="AE78" s="1128">
        <f t="shared" si="45"/>
        <v>0</v>
      </c>
      <c r="AF78" s="1096">
        <f>IF(H78&gt;8,tab!$B$51,tab!$B$54)</f>
        <v>0.5</v>
      </c>
      <c r="AG78" s="1097">
        <f t="shared" si="34"/>
        <v>0</v>
      </c>
      <c r="AH78" s="1093">
        <f t="shared" si="35"/>
        <v>0</v>
      </c>
      <c r="AK78" s="176"/>
    </row>
    <row r="79" spans="2:37" x14ac:dyDescent="0.3">
      <c r="B79" s="61"/>
      <c r="C79" s="114"/>
      <c r="D79" s="353" t="str">
        <f>IF(obp!D36="","",obp!D36)</f>
        <v/>
      </c>
      <c r="E79" s="388" t="str">
        <f>IF(obp!E36="","",obp!E36)</f>
        <v/>
      </c>
      <c r="F79" s="105" t="str">
        <f>IF(obp!F36="","",obp!F36+1)</f>
        <v/>
      </c>
      <c r="G79" s="354" t="str">
        <f>IF(obp!G36="","",obp!G36)</f>
        <v/>
      </c>
      <c r="H79" s="684" t="str">
        <f>IF(obp!H36=0,"",obp!H36)</f>
        <v/>
      </c>
      <c r="I79" s="389" t="str">
        <f>IF(J79="","",(IF(obp!I36+1&gt;LOOKUP(H79,schaal2019,regels2019),obp!I36,obp!I36+1)))</f>
        <v/>
      </c>
      <c r="J79" s="356" t="str">
        <f>IF(obp!J36="","",obp!J36)</f>
        <v/>
      </c>
      <c r="K79" s="370"/>
      <c r="L79" s="1049">
        <f>IF(obp!L36="",0,obp!L36)</f>
        <v>0</v>
      </c>
      <c r="M79" s="1049">
        <f>IF(obp!M36="",0,obp!M36)</f>
        <v>0</v>
      </c>
      <c r="N79" s="1051" t="str">
        <f t="shared" si="36"/>
        <v/>
      </c>
      <c r="O79" s="1051"/>
      <c r="P79" s="1125" t="str">
        <f t="shared" si="37"/>
        <v/>
      </c>
      <c r="Q79" s="472"/>
      <c r="R79" s="923" t="str">
        <f t="shared" si="38"/>
        <v/>
      </c>
      <c r="S79" s="923" t="str">
        <f t="shared" si="39"/>
        <v/>
      </c>
      <c r="T79" s="925" t="str">
        <f t="shared" si="40"/>
        <v/>
      </c>
      <c r="U79" s="545"/>
      <c r="V79" s="712"/>
      <c r="W79" s="957"/>
      <c r="X79" s="1060"/>
      <c r="Y79" s="1095" t="e">
        <f t="shared" si="28"/>
        <v>#VALUE!</v>
      </c>
      <c r="Z79" s="1094">
        <f>tab!B$50</f>
        <v>0.6</v>
      </c>
      <c r="AA79" s="1126" t="e">
        <f t="shared" si="41"/>
        <v>#VALUE!</v>
      </c>
      <c r="AB79" s="1126" t="e">
        <f t="shared" si="42"/>
        <v>#VALUE!</v>
      </c>
      <c r="AC79" s="1126" t="e">
        <f t="shared" si="43"/>
        <v>#VALUE!</v>
      </c>
      <c r="AD79" s="1128" t="e">
        <f t="shared" si="44"/>
        <v>#VALUE!</v>
      </c>
      <c r="AE79" s="1128">
        <f t="shared" si="45"/>
        <v>0</v>
      </c>
      <c r="AF79" s="1096">
        <f>IF(H79&gt;8,tab!$B$51,tab!$B$54)</f>
        <v>0.5</v>
      </c>
      <c r="AG79" s="1097">
        <f t="shared" si="34"/>
        <v>0</v>
      </c>
      <c r="AH79" s="1093">
        <f t="shared" si="35"/>
        <v>0</v>
      </c>
      <c r="AK79" s="176"/>
    </row>
    <row r="80" spans="2:37" x14ac:dyDescent="0.3">
      <c r="B80" s="61"/>
      <c r="C80" s="114"/>
      <c r="D80" s="353" t="str">
        <f>IF(obp!D37="","",obp!D37)</f>
        <v/>
      </c>
      <c r="E80" s="388" t="str">
        <f>IF(obp!E37="","",obp!E37)</f>
        <v/>
      </c>
      <c r="F80" s="105" t="str">
        <f>IF(obp!F37="","",obp!F37+1)</f>
        <v/>
      </c>
      <c r="G80" s="354" t="str">
        <f>IF(obp!G37="","",obp!G37)</f>
        <v/>
      </c>
      <c r="H80" s="684" t="str">
        <f>IF(obp!H37=0,"",obp!H37)</f>
        <v/>
      </c>
      <c r="I80" s="389" t="str">
        <f>IF(J80="","",(IF(obp!I37+1&gt;LOOKUP(H80,schaal2019,regels2019),obp!I37,obp!I37+1)))</f>
        <v/>
      </c>
      <c r="J80" s="356" t="str">
        <f>IF(obp!J37="","",obp!J37)</f>
        <v/>
      </c>
      <c r="K80" s="370"/>
      <c r="L80" s="1049">
        <f>IF(obp!L37="",0,obp!L37)</f>
        <v>0</v>
      </c>
      <c r="M80" s="1049">
        <f>IF(obp!M37="",0,obp!M37)</f>
        <v>0</v>
      </c>
      <c r="N80" s="1051" t="str">
        <f t="shared" si="36"/>
        <v/>
      </c>
      <c r="O80" s="1051"/>
      <c r="P80" s="1125" t="str">
        <f t="shared" si="37"/>
        <v/>
      </c>
      <c r="Q80" s="472"/>
      <c r="R80" s="923" t="str">
        <f t="shared" si="38"/>
        <v/>
      </c>
      <c r="S80" s="923" t="str">
        <f t="shared" si="39"/>
        <v/>
      </c>
      <c r="T80" s="925" t="str">
        <f t="shared" si="40"/>
        <v/>
      </c>
      <c r="U80" s="545"/>
      <c r="V80" s="712"/>
      <c r="W80" s="957"/>
      <c r="X80" s="1060"/>
      <c r="Y80" s="1095" t="e">
        <f t="shared" si="28"/>
        <v>#VALUE!</v>
      </c>
      <c r="Z80" s="1094">
        <f>tab!B$50</f>
        <v>0.6</v>
      </c>
      <c r="AA80" s="1126" t="e">
        <f t="shared" si="41"/>
        <v>#VALUE!</v>
      </c>
      <c r="AB80" s="1126" t="e">
        <f t="shared" si="42"/>
        <v>#VALUE!</v>
      </c>
      <c r="AC80" s="1126" t="e">
        <f t="shared" si="43"/>
        <v>#VALUE!</v>
      </c>
      <c r="AD80" s="1128" t="e">
        <f t="shared" si="44"/>
        <v>#VALUE!</v>
      </c>
      <c r="AE80" s="1128">
        <f t="shared" si="45"/>
        <v>0</v>
      </c>
      <c r="AF80" s="1096">
        <f>IF(H80&gt;8,tab!$B$51,tab!$B$54)</f>
        <v>0.5</v>
      </c>
      <c r="AG80" s="1097">
        <f t="shared" si="34"/>
        <v>0</v>
      </c>
      <c r="AH80" s="1093">
        <f t="shared" si="35"/>
        <v>0</v>
      </c>
      <c r="AK80" s="176"/>
    </row>
    <row r="81" spans="2:37" x14ac:dyDescent="0.3">
      <c r="B81" s="61"/>
      <c r="C81" s="114"/>
      <c r="D81" s="353" t="str">
        <f>IF(obp!D38="","",obp!D38)</f>
        <v/>
      </c>
      <c r="E81" s="388" t="str">
        <f>IF(obp!E38="","",obp!E38)</f>
        <v/>
      </c>
      <c r="F81" s="105" t="str">
        <f>IF(obp!F38="","",obp!F38+1)</f>
        <v/>
      </c>
      <c r="G81" s="354" t="str">
        <f>IF(obp!G38="","",obp!G38)</f>
        <v/>
      </c>
      <c r="H81" s="684" t="str">
        <f>IF(obp!H38=0,"",obp!H38)</f>
        <v/>
      </c>
      <c r="I81" s="389" t="str">
        <f>IF(J81="","",(IF(obp!I38+1&gt;LOOKUP(H81,schaal2019,regels2019),obp!I38,obp!I38+1)))</f>
        <v/>
      </c>
      <c r="J81" s="356" t="str">
        <f>IF(obp!J38="","",obp!J38)</f>
        <v/>
      </c>
      <c r="K81" s="370"/>
      <c r="L81" s="1049">
        <f>IF(obp!L38="",0,obp!L38)</f>
        <v>0</v>
      </c>
      <c r="M81" s="1049">
        <f>IF(obp!M38="",0,obp!M38)</f>
        <v>0</v>
      </c>
      <c r="N81" s="1051" t="str">
        <f t="shared" si="36"/>
        <v/>
      </c>
      <c r="O81" s="1051"/>
      <c r="P81" s="1125" t="str">
        <f t="shared" si="37"/>
        <v/>
      </c>
      <c r="Q81" s="472"/>
      <c r="R81" s="923" t="str">
        <f t="shared" si="38"/>
        <v/>
      </c>
      <c r="S81" s="923" t="str">
        <f t="shared" si="39"/>
        <v/>
      </c>
      <c r="T81" s="925" t="str">
        <f t="shared" si="40"/>
        <v/>
      </c>
      <c r="U81" s="545"/>
      <c r="V81" s="712"/>
      <c r="W81" s="957"/>
      <c r="X81" s="1060"/>
      <c r="Y81" s="1095" t="e">
        <f t="shared" si="28"/>
        <v>#VALUE!</v>
      </c>
      <c r="Z81" s="1094">
        <f>tab!B$50</f>
        <v>0.6</v>
      </c>
      <c r="AA81" s="1126" t="e">
        <f t="shared" si="41"/>
        <v>#VALUE!</v>
      </c>
      <c r="AB81" s="1126" t="e">
        <f t="shared" si="42"/>
        <v>#VALUE!</v>
      </c>
      <c r="AC81" s="1126" t="e">
        <f t="shared" si="43"/>
        <v>#VALUE!</v>
      </c>
      <c r="AD81" s="1128" t="e">
        <f t="shared" si="44"/>
        <v>#VALUE!</v>
      </c>
      <c r="AE81" s="1128">
        <f t="shared" si="45"/>
        <v>0</v>
      </c>
      <c r="AF81" s="1096">
        <f>IF(H81&gt;8,tab!$B$51,tab!$B$54)</f>
        <v>0.5</v>
      </c>
      <c r="AG81" s="1097">
        <f t="shared" si="34"/>
        <v>0</v>
      </c>
      <c r="AH81" s="1093">
        <f t="shared" si="35"/>
        <v>0</v>
      </c>
      <c r="AK81" s="176"/>
    </row>
    <row r="82" spans="2:37" x14ac:dyDescent="0.3">
      <c r="B82" s="61"/>
      <c r="C82" s="114"/>
      <c r="D82" s="353" t="str">
        <f>IF(obp!D39="","",obp!D39)</f>
        <v/>
      </c>
      <c r="E82" s="388" t="str">
        <f>IF(obp!E39="","",obp!E39)</f>
        <v/>
      </c>
      <c r="F82" s="105" t="str">
        <f>IF(obp!F39="","",obp!F39+1)</f>
        <v/>
      </c>
      <c r="G82" s="354" t="str">
        <f>IF(obp!G39="","",obp!G39)</f>
        <v/>
      </c>
      <c r="H82" s="684" t="str">
        <f>IF(obp!H39=0,"",obp!H39)</f>
        <v/>
      </c>
      <c r="I82" s="389" t="str">
        <f>IF(J82="","",(IF(obp!I39+1&gt;LOOKUP(H82,schaal2019,regels2019),obp!I39,obp!I39+1)))</f>
        <v/>
      </c>
      <c r="J82" s="356" t="str">
        <f>IF(obp!J39="","",obp!J39)</f>
        <v/>
      </c>
      <c r="K82" s="370"/>
      <c r="L82" s="1049">
        <f>IF(obp!L39="",0,obp!L39)</f>
        <v>0</v>
      </c>
      <c r="M82" s="1049">
        <f>IF(obp!M39="",0,obp!M39)</f>
        <v>0</v>
      </c>
      <c r="N82" s="1051" t="str">
        <f t="shared" si="36"/>
        <v/>
      </c>
      <c r="O82" s="1051"/>
      <c r="P82" s="1125" t="str">
        <f t="shared" si="37"/>
        <v/>
      </c>
      <c r="Q82" s="472"/>
      <c r="R82" s="923" t="str">
        <f t="shared" si="38"/>
        <v/>
      </c>
      <c r="S82" s="923" t="str">
        <f t="shared" si="39"/>
        <v/>
      </c>
      <c r="T82" s="925" t="str">
        <f t="shared" si="40"/>
        <v/>
      </c>
      <c r="U82" s="545"/>
      <c r="V82" s="712"/>
      <c r="W82" s="957"/>
      <c r="X82" s="1060"/>
      <c r="Y82" s="1095" t="e">
        <f t="shared" si="28"/>
        <v>#VALUE!</v>
      </c>
      <c r="Z82" s="1094">
        <f>tab!B$50</f>
        <v>0.6</v>
      </c>
      <c r="AA82" s="1126" t="e">
        <f t="shared" si="41"/>
        <v>#VALUE!</v>
      </c>
      <c r="AB82" s="1126" t="e">
        <f t="shared" si="42"/>
        <v>#VALUE!</v>
      </c>
      <c r="AC82" s="1126" t="e">
        <f t="shared" si="43"/>
        <v>#VALUE!</v>
      </c>
      <c r="AD82" s="1128" t="e">
        <f t="shared" si="44"/>
        <v>#VALUE!</v>
      </c>
      <c r="AE82" s="1128">
        <f t="shared" si="45"/>
        <v>0</v>
      </c>
      <c r="AF82" s="1096">
        <f>IF(H82&gt;8,tab!$B$51,tab!$B$54)</f>
        <v>0.5</v>
      </c>
      <c r="AG82" s="1097">
        <f t="shared" si="34"/>
        <v>0</v>
      </c>
      <c r="AH82" s="1093">
        <f t="shared" si="35"/>
        <v>0</v>
      </c>
      <c r="AK82" s="176"/>
    </row>
    <row r="83" spans="2:37" x14ac:dyDescent="0.3">
      <c r="B83" s="61"/>
      <c r="C83" s="114"/>
      <c r="D83" s="353" t="str">
        <f>IF(obp!D40="","",obp!D40)</f>
        <v/>
      </c>
      <c r="E83" s="388" t="str">
        <f>IF(obp!E40="","",obp!E40)</f>
        <v/>
      </c>
      <c r="F83" s="105" t="str">
        <f>IF(obp!F40="","",obp!F40+1)</f>
        <v/>
      </c>
      <c r="G83" s="354" t="str">
        <f>IF(obp!G40="","",obp!G40)</f>
        <v/>
      </c>
      <c r="H83" s="684" t="str">
        <f>IF(obp!H40=0,"",obp!H40)</f>
        <v/>
      </c>
      <c r="I83" s="389" t="str">
        <f>IF(J83="","",(IF(obp!I40+1&gt;LOOKUP(H83,schaal2019,regels2019),obp!I40,obp!I40+1)))</f>
        <v/>
      </c>
      <c r="J83" s="356" t="str">
        <f>IF(obp!J40="","",obp!J40)</f>
        <v/>
      </c>
      <c r="K83" s="370"/>
      <c r="L83" s="1049">
        <f>IF(obp!L40="",0,obp!L40)</f>
        <v>0</v>
      </c>
      <c r="M83" s="1049">
        <f>IF(obp!M40="",0,obp!M40)</f>
        <v>0</v>
      </c>
      <c r="N83" s="1051" t="str">
        <f t="shared" si="36"/>
        <v/>
      </c>
      <c r="O83" s="1051"/>
      <c r="P83" s="1125" t="str">
        <f t="shared" si="37"/>
        <v/>
      </c>
      <c r="Q83" s="472"/>
      <c r="R83" s="923" t="str">
        <f t="shared" si="38"/>
        <v/>
      </c>
      <c r="S83" s="923" t="str">
        <f t="shared" si="39"/>
        <v/>
      </c>
      <c r="T83" s="925" t="str">
        <f t="shared" si="40"/>
        <v/>
      </c>
      <c r="U83" s="545"/>
      <c r="V83" s="712"/>
      <c r="W83" s="957"/>
      <c r="X83" s="1060"/>
      <c r="Y83" s="1095" t="e">
        <f t="shared" si="28"/>
        <v>#VALUE!</v>
      </c>
      <c r="Z83" s="1094">
        <f>tab!B$50</f>
        <v>0.6</v>
      </c>
      <c r="AA83" s="1126" t="e">
        <f t="shared" si="41"/>
        <v>#VALUE!</v>
      </c>
      <c r="AB83" s="1126" t="e">
        <f t="shared" si="42"/>
        <v>#VALUE!</v>
      </c>
      <c r="AC83" s="1126" t="e">
        <f t="shared" si="43"/>
        <v>#VALUE!</v>
      </c>
      <c r="AD83" s="1128" t="e">
        <f t="shared" si="44"/>
        <v>#VALUE!</v>
      </c>
      <c r="AE83" s="1128">
        <f t="shared" si="45"/>
        <v>0</v>
      </c>
      <c r="AF83" s="1096">
        <f>IF(H83&gt;8,tab!$B$51,tab!$B$54)</f>
        <v>0.5</v>
      </c>
      <c r="AG83" s="1097">
        <f t="shared" si="34"/>
        <v>0</v>
      </c>
      <c r="AH83" s="1093">
        <f t="shared" si="35"/>
        <v>0</v>
      </c>
      <c r="AK83" s="176"/>
    </row>
    <row r="84" spans="2:37" x14ac:dyDescent="0.3">
      <c r="B84" s="61"/>
      <c r="C84" s="114"/>
      <c r="D84" s="353" t="str">
        <f>IF(obp!D41="","",obp!D41)</f>
        <v/>
      </c>
      <c r="E84" s="388" t="str">
        <f>IF(obp!E41="","",obp!E41)</f>
        <v/>
      </c>
      <c r="F84" s="105" t="str">
        <f>IF(obp!F41="","",obp!F41+1)</f>
        <v/>
      </c>
      <c r="G84" s="354" t="str">
        <f>IF(obp!G41="","",obp!G41)</f>
        <v/>
      </c>
      <c r="H84" s="684" t="str">
        <f>IF(obp!H41=0,"",obp!H41)</f>
        <v/>
      </c>
      <c r="I84" s="389" t="str">
        <f>IF(J84="","",(IF(obp!I41+1&gt;LOOKUP(H84,schaal2019,regels2019),obp!I41,obp!I41+1)))</f>
        <v/>
      </c>
      <c r="J84" s="356" t="str">
        <f>IF(obp!J41="","",obp!J41)</f>
        <v/>
      </c>
      <c r="K84" s="370"/>
      <c r="L84" s="1049">
        <f>IF(obp!L41="",0,obp!L41)</f>
        <v>0</v>
      </c>
      <c r="M84" s="1049">
        <f>IF(obp!M41="",0,obp!M41)</f>
        <v>0</v>
      </c>
      <c r="N84" s="1051" t="str">
        <f t="shared" si="36"/>
        <v/>
      </c>
      <c r="O84" s="1051"/>
      <c r="P84" s="1125" t="str">
        <f t="shared" si="37"/>
        <v/>
      </c>
      <c r="Q84" s="472"/>
      <c r="R84" s="923" t="str">
        <f t="shared" si="38"/>
        <v/>
      </c>
      <c r="S84" s="923" t="str">
        <f t="shared" si="39"/>
        <v/>
      </c>
      <c r="T84" s="925" t="str">
        <f t="shared" si="40"/>
        <v/>
      </c>
      <c r="U84" s="545"/>
      <c r="V84" s="712"/>
      <c r="W84" s="957"/>
      <c r="X84" s="1060"/>
      <c r="Y84" s="1095" t="e">
        <f t="shared" si="28"/>
        <v>#VALUE!</v>
      </c>
      <c r="Z84" s="1094">
        <f>tab!B$50</f>
        <v>0.6</v>
      </c>
      <c r="AA84" s="1126" t="e">
        <f t="shared" si="41"/>
        <v>#VALUE!</v>
      </c>
      <c r="AB84" s="1126" t="e">
        <f t="shared" si="42"/>
        <v>#VALUE!</v>
      </c>
      <c r="AC84" s="1126" t="e">
        <f t="shared" si="43"/>
        <v>#VALUE!</v>
      </c>
      <c r="AD84" s="1128" t="e">
        <f t="shared" si="44"/>
        <v>#VALUE!</v>
      </c>
      <c r="AE84" s="1128">
        <f t="shared" si="45"/>
        <v>0</v>
      </c>
      <c r="AF84" s="1096">
        <f>IF(H84&gt;8,tab!$B$51,tab!$B$54)</f>
        <v>0.5</v>
      </c>
      <c r="AG84" s="1097">
        <f t="shared" si="34"/>
        <v>0</v>
      </c>
      <c r="AH84" s="1093">
        <f t="shared" si="35"/>
        <v>0</v>
      </c>
      <c r="AK84" s="176"/>
    </row>
    <row r="85" spans="2:37" x14ac:dyDescent="0.3">
      <c r="B85" s="61"/>
      <c r="C85" s="114"/>
      <c r="D85" s="353" t="str">
        <f>IF(obp!D42="","",obp!D42)</f>
        <v/>
      </c>
      <c r="E85" s="388" t="str">
        <f>IF(obp!E42="","",obp!E42)</f>
        <v/>
      </c>
      <c r="F85" s="105" t="str">
        <f>IF(obp!F42="","",obp!F42+1)</f>
        <v/>
      </c>
      <c r="G85" s="354" t="str">
        <f>IF(obp!G42="","",obp!G42)</f>
        <v/>
      </c>
      <c r="H85" s="684" t="str">
        <f>IF(obp!H42=0,"",obp!H42)</f>
        <v/>
      </c>
      <c r="I85" s="389" t="str">
        <f>IF(J85="","",(IF(obp!I42+1&gt;LOOKUP(H85,schaal2019,regels2019),obp!I42,obp!I42+1)))</f>
        <v/>
      </c>
      <c r="J85" s="356" t="str">
        <f>IF(obp!J42="","",obp!J42)</f>
        <v/>
      </c>
      <c r="K85" s="370"/>
      <c r="L85" s="1049">
        <f>IF(obp!L42="",0,obp!L42)</f>
        <v>0</v>
      </c>
      <c r="M85" s="1049">
        <f>IF(obp!M42="",0,obp!M42)</f>
        <v>0</v>
      </c>
      <c r="N85" s="1051" t="str">
        <f t="shared" si="36"/>
        <v/>
      </c>
      <c r="O85" s="1051"/>
      <c r="P85" s="1125" t="str">
        <f t="shared" si="37"/>
        <v/>
      </c>
      <c r="Q85" s="472"/>
      <c r="R85" s="923" t="str">
        <f t="shared" si="38"/>
        <v/>
      </c>
      <c r="S85" s="923" t="str">
        <f t="shared" si="39"/>
        <v/>
      </c>
      <c r="T85" s="925" t="str">
        <f t="shared" si="40"/>
        <v/>
      </c>
      <c r="U85" s="545"/>
      <c r="V85" s="712"/>
      <c r="W85" s="957"/>
      <c r="X85" s="1060"/>
      <c r="Y85" s="1095" t="e">
        <f t="shared" si="28"/>
        <v>#VALUE!</v>
      </c>
      <c r="Z85" s="1094">
        <f>tab!B$50</f>
        <v>0.6</v>
      </c>
      <c r="AA85" s="1126" t="e">
        <f t="shared" si="41"/>
        <v>#VALUE!</v>
      </c>
      <c r="AB85" s="1126" t="e">
        <f t="shared" si="42"/>
        <v>#VALUE!</v>
      </c>
      <c r="AC85" s="1126" t="e">
        <f t="shared" si="43"/>
        <v>#VALUE!</v>
      </c>
      <c r="AD85" s="1128" t="e">
        <f t="shared" si="44"/>
        <v>#VALUE!</v>
      </c>
      <c r="AE85" s="1128">
        <f t="shared" si="45"/>
        <v>0</v>
      </c>
      <c r="AF85" s="1096">
        <f>IF(H85&gt;8,tab!$B$51,tab!$B$54)</f>
        <v>0.5</v>
      </c>
      <c r="AG85" s="1097">
        <f t="shared" si="34"/>
        <v>0</v>
      </c>
      <c r="AH85" s="1093">
        <f t="shared" si="35"/>
        <v>0</v>
      </c>
      <c r="AK85" s="176"/>
    </row>
    <row r="86" spans="2:37" x14ac:dyDescent="0.3">
      <c r="B86" s="61"/>
      <c r="C86" s="114"/>
      <c r="D86" s="353" t="str">
        <f>IF(obp!D43="","",obp!D43)</f>
        <v/>
      </c>
      <c r="E86" s="388" t="str">
        <f>IF(obp!E43="","",obp!E43)</f>
        <v/>
      </c>
      <c r="F86" s="105" t="str">
        <f>IF(obp!F43="","",obp!F43+1)</f>
        <v/>
      </c>
      <c r="G86" s="354" t="str">
        <f>IF(obp!G43="","",obp!G43)</f>
        <v/>
      </c>
      <c r="H86" s="684" t="str">
        <f>IF(obp!H43=0,"",obp!H43)</f>
        <v/>
      </c>
      <c r="I86" s="389" t="str">
        <f>IF(J86="","",(IF(obp!I43+1&gt;LOOKUP(H86,schaal2019,regels2019),obp!I43,obp!I43+1)))</f>
        <v/>
      </c>
      <c r="J86" s="356" t="str">
        <f>IF(obp!J43="","",obp!J43)</f>
        <v/>
      </c>
      <c r="K86" s="370"/>
      <c r="L86" s="1049">
        <f>IF(obp!L43="",0,obp!L43)</f>
        <v>0</v>
      </c>
      <c r="M86" s="1049">
        <f>IF(obp!M43="",0,obp!M43)</f>
        <v>0</v>
      </c>
      <c r="N86" s="1051" t="str">
        <f t="shared" si="36"/>
        <v/>
      </c>
      <c r="O86" s="1051"/>
      <c r="P86" s="1125" t="str">
        <f t="shared" si="37"/>
        <v/>
      </c>
      <c r="Q86" s="472"/>
      <c r="R86" s="923" t="str">
        <f t="shared" si="38"/>
        <v/>
      </c>
      <c r="S86" s="923" t="str">
        <f t="shared" si="39"/>
        <v/>
      </c>
      <c r="T86" s="925" t="str">
        <f t="shared" si="40"/>
        <v/>
      </c>
      <c r="U86" s="545"/>
      <c r="V86" s="712"/>
      <c r="W86" s="957"/>
      <c r="X86" s="1060"/>
      <c r="Y86" s="1095" t="e">
        <f t="shared" si="28"/>
        <v>#VALUE!</v>
      </c>
      <c r="Z86" s="1094">
        <f>tab!B$50</f>
        <v>0.6</v>
      </c>
      <c r="AA86" s="1126" t="e">
        <f t="shared" si="41"/>
        <v>#VALUE!</v>
      </c>
      <c r="AB86" s="1126" t="e">
        <f t="shared" si="42"/>
        <v>#VALUE!</v>
      </c>
      <c r="AC86" s="1126" t="e">
        <f t="shared" si="43"/>
        <v>#VALUE!</v>
      </c>
      <c r="AD86" s="1128" t="e">
        <f t="shared" si="44"/>
        <v>#VALUE!</v>
      </c>
      <c r="AE86" s="1128">
        <f t="shared" si="45"/>
        <v>0</v>
      </c>
      <c r="AF86" s="1096">
        <f>IF(H86&gt;8,tab!$B$51,tab!$B$54)</f>
        <v>0.5</v>
      </c>
      <c r="AG86" s="1097">
        <f t="shared" si="34"/>
        <v>0</v>
      </c>
      <c r="AH86" s="1093">
        <f t="shared" si="35"/>
        <v>0</v>
      </c>
      <c r="AK86" s="176"/>
    </row>
    <row r="87" spans="2:37" x14ac:dyDescent="0.3">
      <c r="B87" s="61"/>
      <c r="C87" s="114"/>
      <c r="D87" s="353" t="str">
        <f>IF(obp!D44="","",obp!D44)</f>
        <v/>
      </c>
      <c r="E87" s="388" t="str">
        <f>IF(obp!E44="","",obp!E44)</f>
        <v/>
      </c>
      <c r="F87" s="105" t="str">
        <f>IF(obp!F44="","",obp!F44+1)</f>
        <v/>
      </c>
      <c r="G87" s="354" t="str">
        <f>IF(obp!G44="","",obp!G44)</f>
        <v/>
      </c>
      <c r="H87" s="684" t="str">
        <f>IF(obp!H44=0,"",obp!H44)</f>
        <v/>
      </c>
      <c r="I87" s="389" t="str">
        <f>IF(J87="","",(IF(obp!I44+1&gt;LOOKUP(H87,schaal2019,regels2019),obp!I44,obp!I44+1)))</f>
        <v/>
      </c>
      <c r="J87" s="356" t="str">
        <f>IF(obp!J44="","",obp!J44)</f>
        <v/>
      </c>
      <c r="K87" s="370"/>
      <c r="L87" s="1049">
        <f>IF(obp!L44="",0,obp!L44)</f>
        <v>0</v>
      </c>
      <c r="M87" s="1049">
        <f>IF(obp!M44="",0,obp!M44)</f>
        <v>0</v>
      </c>
      <c r="N87" s="1051" t="str">
        <f t="shared" si="36"/>
        <v/>
      </c>
      <c r="O87" s="1051"/>
      <c r="P87" s="1125" t="str">
        <f t="shared" si="37"/>
        <v/>
      </c>
      <c r="Q87" s="472"/>
      <c r="R87" s="923" t="str">
        <f t="shared" si="38"/>
        <v/>
      </c>
      <c r="S87" s="923" t="str">
        <f t="shared" si="39"/>
        <v/>
      </c>
      <c r="T87" s="925" t="str">
        <f t="shared" si="40"/>
        <v/>
      </c>
      <c r="U87" s="545"/>
      <c r="V87" s="712"/>
      <c r="W87" s="957"/>
      <c r="X87" s="1060"/>
      <c r="Y87" s="1095" t="e">
        <f t="shared" si="28"/>
        <v>#VALUE!</v>
      </c>
      <c r="Z87" s="1094">
        <f>tab!B$50</f>
        <v>0.6</v>
      </c>
      <c r="AA87" s="1126" t="e">
        <f t="shared" si="41"/>
        <v>#VALUE!</v>
      </c>
      <c r="AB87" s="1126" t="e">
        <f t="shared" si="42"/>
        <v>#VALUE!</v>
      </c>
      <c r="AC87" s="1126" t="e">
        <f t="shared" si="43"/>
        <v>#VALUE!</v>
      </c>
      <c r="AD87" s="1128" t="e">
        <f t="shared" si="44"/>
        <v>#VALUE!</v>
      </c>
      <c r="AE87" s="1128">
        <f t="shared" si="45"/>
        <v>0</v>
      </c>
      <c r="AF87" s="1096">
        <f>IF(H87&gt;8,tab!$B$51,tab!$B$54)</f>
        <v>0.5</v>
      </c>
      <c r="AG87" s="1097">
        <f t="shared" si="34"/>
        <v>0</v>
      </c>
      <c r="AH87" s="1093">
        <f t="shared" si="35"/>
        <v>0</v>
      </c>
      <c r="AK87" s="176"/>
    </row>
    <row r="88" spans="2:37" x14ac:dyDescent="0.3">
      <c r="B88" s="61"/>
      <c r="C88" s="114"/>
      <c r="D88" s="353" t="str">
        <f>IF(obp!D45="","",obp!D45)</f>
        <v/>
      </c>
      <c r="E88" s="388" t="str">
        <f>IF(obp!E45="","",obp!E45)</f>
        <v/>
      </c>
      <c r="F88" s="105" t="str">
        <f>IF(obp!F45="","",obp!F45+1)</f>
        <v/>
      </c>
      <c r="G88" s="354" t="str">
        <f>IF(obp!G45="","",obp!G45)</f>
        <v/>
      </c>
      <c r="H88" s="684" t="str">
        <f>IF(obp!H45=0,"",obp!H45)</f>
        <v/>
      </c>
      <c r="I88" s="389" t="str">
        <f>IF(J88="","",(IF(obp!I45+1&gt;LOOKUP(H88,schaal2019,regels2019),obp!I45,obp!I45+1)))</f>
        <v/>
      </c>
      <c r="J88" s="356" t="str">
        <f>IF(obp!J45="","",obp!J45)</f>
        <v/>
      </c>
      <c r="K88" s="370"/>
      <c r="L88" s="1049">
        <f>IF(obp!L45="",0,obp!L45)</f>
        <v>0</v>
      </c>
      <c r="M88" s="1049">
        <f>IF(obp!M45="",0,obp!M45)</f>
        <v>0</v>
      </c>
      <c r="N88" s="1051" t="str">
        <f t="shared" si="36"/>
        <v/>
      </c>
      <c r="O88" s="1051"/>
      <c r="P88" s="1125" t="str">
        <f t="shared" si="37"/>
        <v/>
      </c>
      <c r="Q88" s="472"/>
      <c r="R88" s="923" t="str">
        <f t="shared" si="38"/>
        <v/>
      </c>
      <c r="S88" s="923" t="str">
        <f t="shared" si="39"/>
        <v/>
      </c>
      <c r="T88" s="925" t="str">
        <f t="shared" si="40"/>
        <v/>
      </c>
      <c r="U88" s="545"/>
      <c r="V88" s="712"/>
      <c r="W88" s="957"/>
      <c r="X88" s="1060"/>
      <c r="Y88" s="1095" t="e">
        <f t="shared" si="28"/>
        <v>#VALUE!</v>
      </c>
      <c r="Z88" s="1094">
        <f>tab!B$50</f>
        <v>0.6</v>
      </c>
      <c r="AA88" s="1126" t="e">
        <f t="shared" si="41"/>
        <v>#VALUE!</v>
      </c>
      <c r="AB88" s="1126" t="e">
        <f t="shared" si="42"/>
        <v>#VALUE!</v>
      </c>
      <c r="AC88" s="1126" t="e">
        <f t="shared" si="43"/>
        <v>#VALUE!</v>
      </c>
      <c r="AD88" s="1128" t="e">
        <f t="shared" si="44"/>
        <v>#VALUE!</v>
      </c>
      <c r="AE88" s="1128">
        <f t="shared" si="45"/>
        <v>0</v>
      </c>
      <c r="AF88" s="1096">
        <f>IF(H88&gt;8,tab!$B$51,tab!$B$54)</f>
        <v>0.5</v>
      </c>
      <c r="AG88" s="1097">
        <f t="shared" si="34"/>
        <v>0</v>
      </c>
      <c r="AH88" s="1093">
        <f t="shared" si="35"/>
        <v>0</v>
      </c>
      <c r="AK88" s="176"/>
    </row>
    <row r="89" spans="2:37" x14ac:dyDescent="0.3">
      <c r="B89" s="61"/>
      <c r="C89" s="114"/>
      <c r="D89" s="730"/>
      <c r="E89" s="731"/>
      <c r="F89" s="119"/>
      <c r="G89" s="683"/>
      <c r="H89" s="732"/>
      <c r="I89" s="369"/>
      <c r="J89" s="963">
        <f>SUM(J59:J88)</f>
        <v>1</v>
      </c>
      <c r="K89" s="715"/>
      <c r="L89" s="1062">
        <f t="shared" ref="L89:P89" si="46">SUM(L59:L88)</f>
        <v>0</v>
      </c>
      <c r="M89" s="1062">
        <f t="shared" si="46"/>
        <v>0</v>
      </c>
      <c r="N89" s="1039">
        <f>SUM(N59:N88)</f>
        <v>40</v>
      </c>
      <c r="O89" s="919"/>
      <c r="P89" s="1039">
        <f t="shared" si="46"/>
        <v>40</v>
      </c>
      <c r="Q89" s="715"/>
      <c r="R89" s="964">
        <f t="shared" ref="R89:T89" si="47">SUM(R59:R88)</f>
        <v>56436.056419529836</v>
      </c>
      <c r="S89" s="965">
        <f t="shared" si="47"/>
        <v>1394.3435804701628</v>
      </c>
      <c r="T89" s="962">
        <f t="shared" si="47"/>
        <v>57830.400000000001</v>
      </c>
      <c r="U89" s="117"/>
      <c r="V89" s="65"/>
      <c r="Y89" s="1112"/>
      <c r="Z89" s="1113"/>
      <c r="AA89" s="1113"/>
      <c r="AB89" s="1113"/>
      <c r="AC89" s="1113"/>
      <c r="AG89" s="1090">
        <f>SUM(AG59:AG88)</f>
        <v>0</v>
      </c>
      <c r="AH89" s="1114">
        <f>SUM(AH59:AH88)</f>
        <v>0</v>
      </c>
    </row>
    <row r="90" spans="2:37" x14ac:dyDescent="0.3">
      <c r="B90" s="61"/>
      <c r="C90" s="626"/>
      <c r="D90" s="234"/>
      <c r="E90" s="234"/>
      <c r="F90" s="671"/>
      <c r="G90" s="671"/>
      <c r="H90" s="671"/>
      <c r="I90" s="672"/>
      <c r="J90" s="673"/>
      <c r="K90" s="672"/>
      <c r="L90" s="672"/>
      <c r="M90" s="672"/>
      <c r="N90" s="673"/>
      <c r="O90" s="672"/>
      <c r="P90" s="672"/>
      <c r="Q90" s="672"/>
      <c r="R90" s="378"/>
      <c r="S90" s="379"/>
      <c r="T90" s="780"/>
      <c r="U90" s="674"/>
      <c r="V90" s="65"/>
      <c r="Y90" s="1115"/>
      <c r="Z90" s="1098"/>
      <c r="AA90" s="1098"/>
      <c r="AB90" s="1098"/>
      <c r="AC90" s="1098"/>
      <c r="AG90" s="1099"/>
      <c r="AH90" s="1100"/>
    </row>
    <row r="91" spans="2:37" ht="12.75" customHeight="1" x14ac:dyDescent="0.3">
      <c r="B91" s="80"/>
      <c r="C91" s="81"/>
      <c r="D91" s="82"/>
      <c r="E91" s="82"/>
      <c r="F91" s="161"/>
      <c r="G91" s="670"/>
      <c r="H91" s="161"/>
      <c r="I91" s="348"/>
      <c r="J91" s="349"/>
      <c r="K91" s="81"/>
      <c r="L91" s="350"/>
      <c r="M91" s="350"/>
      <c r="N91" s="349"/>
      <c r="O91" s="350"/>
      <c r="P91" s="350"/>
      <c r="Q91" s="81"/>
      <c r="R91" s="351"/>
      <c r="S91" s="352"/>
      <c r="T91" s="781"/>
      <c r="U91" s="81"/>
      <c r="V91" s="84"/>
      <c r="Y91" s="1095"/>
      <c r="Z91" s="1103"/>
      <c r="AA91" s="1103"/>
      <c r="AB91" s="1103"/>
      <c r="AC91" s="1103"/>
      <c r="AG91" s="1097"/>
      <c r="AH91" s="1093"/>
    </row>
    <row r="92" spans="2:37" ht="12.75" customHeight="1" x14ac:dyDescent="0.3">
      <c r="G92" s="404"/>
      <c r="H92" s="16"/>
      <c r="J92" s="292"/>
      <c r="L92" s="18"/>
      <c r="M92" s="18"/>
      <c r="N92" s="292"/>
      <c r="O92" s="18"/>
      <c r="P92" s="18"/>
      <c r="R92" s="291"/>
      <c r="S92" s="154"/>
      <c r="T92" s="782"/>
      <c r="Y92" s="1095"/>
      <c r="Z92" s="1103"/>
      <c r="AA92" s="1103"/>
      <c r="AB92" s="1103"/>
      <c r="AC92" s="1103"/>
      <c r="AG92" s="1097"/>
      <c r="AH92" s="1093"/>
    </row>
    <row r="93" spans="2:37" ht="12.75" customHeight="1" x14ac:dyDescent="0.3">
      <c r="G93" s="404"/>
      <c r="H93" s="16"/>
      <c r="J93" s="292"/>
      <c r="L93" s="18"/>
      <c r="M93" s="18"/>
      <c r="N93" s="292"/>
      <c r="O93" s="18"/>
      <c r="P93" s="18"/>
      <c r="R93" s="291"/>
      <c r="S93" s="154"/>
      <c r="T93" s="782"/>
      <c r="Y93" s="1095"/>
      <c r="Z93" s="1103"/>
      <c r="AA93" s="1103"/>
      <c r="AB93" s="1103"/>
      <c r="AC93" s="1103"/>
      <c r="AG93" s="1097"/>
      <c r="AH93" s="1093"/>
    </row>
    <row r="94" spans="2:37" ht="12.75" customHeight="1" x14ac:dyDescent="0.3">
      <c r="C94" s="8" t="s">
        <v>180</v>
      </c>
      <c r="E94" s="289" t="str">
        <f>dir!E53</f>
        <v>2021/22</v>
      </c>
      <c r="G94" s="404"/>
      <c r="H94" s="16"/>
      <c r="J94" s="292"/>
      <c r="L94" s="18"/>
      <c r="M94" s="18"/>
      <c r="N94" s="292"/>
      <c r="O94" s="18"/>
      <c r="P94" s="18"/>
      <c r="R94" s="291"/>
      <c r="S94" s="154"/>
      <c r="T94" s="782"/>
      <c r="Y94" s="1095"/>
      <c r="Z94" s="1103"/>
      <c r="AA94" s="1103"/>
      <c r="AB94" s="1103"/>
      <c r="AC94" s="1103"/>
      <c r="AG94" s="1097"/>
      <c r="AH94" s="1093"/>
    </row>
    <row r="95" spans="2:37" ht="12.75" customHeight="1" x14ac:dyDescent="0.3">
      <c r="C95" s="8" t="s">
        <v>193</v>
      </c>
      <c r="E95" s="289">
        <f>dir!E54</f>
        <v>44470</v>
      </c>
      <c r="G95" s="404"/>
      <c r="H95" s="16"/>
      <c r="J95" s="292"/>
      <c r="L95" s="18"/>
      <c r="M95" s="18"/>
      <c r="N95" s="292"/>
      <c r="O95" s="18"/>
      <c r="P95" s="18"/>
      <c r="R95" s="291"/>
      <c r="S95" s="154"/>
      <c r="T95" s="782"/>
      <c r="Y95" s="1095"/>
      <c r="Z95" s="1103"/>
      <c r="AA95" s="1103"/>
      <c r="AB95" s="1103"/>
      <c r="AC95" s="1103"/>
      <c r="AG95" s="1097"/>
      <c r="AH95" s="1093"/>
    </row>
    <row r="96" spans="2:37" ht="12.75" customHeight="1" x14ac:dyDescent="0.3">
      <c r="G96" s="404"/>
      <c r="H96" s="16"/>
      <c r="J96" s="292"/>
      <c r="L96" s="18"/>
      <c r="M96" s="18"/>
      <c r="N96" s="292"/>
      <c r="O96" s="18"/>
      <c r="P96" s="18"/>
      <c r="R96" s="291"/>
      <c r="S96" s="154"/>
      <c r="T96" s="782"/>
      <c r="Y96" s="1095"/>
      <c r="Z96" s="1103"/>
      <c r="AA96" s="1103"/>
      <c r="AB96" s="1103"/>
      <c r="AC96" s="1103"/>
      <c r="AG96" s="1097"/>
      <c r="AH96" s="1093"/>
    </row>
    <row r="97" spans="2:42" ht="12.75" customHeight="1" x14ac:dyDescent="0.3">
      <c r="C97" s="163"/>
      <c r="D97" s="961"/>
      <c r="E97" s="927"/>
      <c r="F97" s="928"/>
      <c r="G97" s="929"/>
      <c r="H97" s="930"/>
      <c r="I97" s="930"/>
      <c r="J97" s="931"/>
      <c r="K97" s="932"/>
      <c r="L97" s="930"/>
      <c r="M97" s="930"/>
      <c r="N97" s="931"/>
      <c r="O97" s="930"/>
      <c r="P97" s="930"/>
      <c r="Q97" s="932"/>
      <c r="R97" s="932"/>
      <c r="S97" s="933"/>
      <c r="T97" s="934"/>
      <c r="U97" s="109"/>
      <c r="V97" s="1063"/>
      <c r="W97" s="1063"/>
      <c r="AE97" s="1077"/>
      <c r="AF97" s="1078"/>
      <c r="AI97" s="1077"/>
      <c r="AJ97" s="1089"/>
      <c r="AK97" s="270"/>
      <c r="AL97" s="271"/>
      <c r="AM97" s="283"/>
      <c r="AN97" s="18"/>
    </row>
    <row r="98" spans="2:42" s="129" customFormat="1" ht="12.75" customHeight="1" x14ac:dyDescent="0.3">
      <c r="B98" s="134"/>
      <c r="C98" s="382"/>
      <c r="D98" s="1033" t="s">
        <v>285</v>
      </c>
      <c r="E98" s="1033"/>
      <c r="F98" s="1033"/>
      <c r="G98" s="1033"/>
      <c r="H98" s="1033"/>
      <c r="I98" s="1033"/>
      <c r="J98" s="1033"/>
      <c r="K98" s="1034"/>
      <c r="L98" s="1033" t="s">
        <v>502</v>
      </c>
      <c r="M98" s="1035"/>
      <c r="N98" s="1033"/>
      <c r="O98" s="1033"/>
      <c r="P98" s="1133"/>
      <c r="Q98" s="902"/>
      <c r="R98" s="1033" t="s">
        <v>503</v>
      </c>
      <c r="S98" s="1036"/>
      <c r="T98" s="1134"/>
      <c r="U98" s="1135"/>
      <c r="V98" s="1064"/>
      <c r="W98" s="1064"/>
      <c r="X98" s="384"/>
      <c r="Y98" s="1063"/>
      <c r="Z98" s="1136"/>
      <c r="AA98" s="1063"/>
      <c r="AB98" s="1063"/>
      <c r="AC98" s="1063"/>
      <c r="AD98" s="1137"/>
      <c r="AE98" s="1137"/>
      <c r="AF98" s="1136"/>
      <c r="AG98" s="1090"/>
      <c r="AH98" s="1091"/>
      <c r="AI98" s="1063"/>
      <c r="AJ98" s="1063"/>
      <c r="AO98" s="384"/>
      <c r="AP98" s="384"/>
    </row>
    <row r="99" spans="2:42" s="129" customFormat="1" ht="12.75" customHeight="1" x14ac:dyDescent="0.3">
      <c r="B99" s="134"/>
      <c r="C99" s="382"/>
      <c r="D99" s="903" t="s">
        <v>494</v>
      </c>
      <c r="E99" s="877" t="s">
        <v>181</v>
      </c>
      <c r="F99" s="904" t="s">
        <v>137</v>
      </c>
      <c r="G99" s="905" t="s">
        <v>273</v>
      </c>
      <c r="H99" s="904" t="s">
        <v>206</v>
      </c>
      <c r="I99" s="904" t="s">
        <v>225</v>
      </c>
      <c r="J99" s="906" t="s">
        <v>140</v>
      </c>
      <c r="K99" s="914"/>
      <c r="L99" s="907" t="s">
        <v>479</v>
      </c>
      <c r="M99" s="907" t="s">
        <v>480</v>
      </c>
      <c r="N99" s="907" t="s">
        <v>478</v>
      </c>
      <c r="O99" s="907" t="s">
        <v>479</v>
      </c>
      <c r="P99" s="1138" t="s">
        <v>504</v>
      </c>
      <c r="Q99" s="881"/>
      <c r="R99" s="1037" t="s">
        <v>192</v>
      </c>
      <c r="S99" s="909" t="s">
        <v>505</v>
      </c>
      <c r="T99" s="910" t="s">
        <v>192</v>
      </c>
      <c r="U99" s="1139"/>
      <c r="V99" s="1101"/>
      <c r="W99" s="1101"/>
      <c r="X99" s="386"/>
      <c r="Y99" s="915" t="s">
        <v>303</v>
      </c>
      <c r="Z99" s="1127" t="s">
        <v>497</v>
      </c>
      <c r="AA99" s="1101" t="s">
        <v>498</v>
      </c>
      <c r="AB99" s="1101" t="s">
        <v>498</v>
      </c>
      <c r="AC99" s="1101" t="s">
        <v>495</v>
      </c>
      <c r="AD99" s="1048" t="s">
        <v>488</v>
      </c>
      <c r="AE99" s="1048" t="s">
        <v>489</v>
      </c>
      <c r="AF99" s="916" t="s">
        <v>490</v>
      </c>
      <c r="AG99" s="1092" t="s">
        <v>297</v>
      </c>
      <c r="AH99" s="1091" t="s">
        <v>427</v>
      </c>
      <c r="AI99" s="1063"/>
      <c r="AJ99" s="1063"/>
      <c r="AO99" s="384"/>
      <c r="AP99" s="386"/>
    </row>
    <row r="100" spans="2:42" s="129" customFormat="1" ht="12.75" customHeight="1" x14ac:dyDescent="0.3">
      <c r="B100" s="134"/>
      <c r="C100" s="382"/>
      <c r="D100" s="911"/>
      <c r="E100" s="877"/>
      <c r="F100" s="904" t="s">
        <v>138</v>
      </c>
      <c r="G100" s="905" t="s">
        <v>274</v>
      </c>
      <c r="H100" s="904"/>
      <c r="I100" s="904"/>
      <c r="J100" s="906" t="s">
        <v>452</v>
      </c>
      <c r="K100" s="914"/>
      <c r="L100" s="907" t="s">
        <v>482</v>
      </c>
      <c r="M100" s="907" t="s">
        <v>483</v>
      </c>
      <c r="N100" s="907" t="s">
        <v>481</v>
      </c>
      <c r="O100" s="907" t="s">
        <v>493</v>
      </c>
      <c r="P100" s="1138" t="s">
        <v>269</v>
      </c>
      <c r="Q100" s="881"/>
      <c r="R100" s="908" t="s">
        <v>506</v>
      </c>
      <c r="S100" s="909" t="s">
        <v>484</v>
      </c>
      <c r="T100" s="910" t="s">
        <v>269</v>
      </c>
      <c r="U100" s="887"/>
      <c r="V100" s="1063"/>
      <c r="W100" s="1063"/>
      <c r="Y100" s="915" t="s">
        <v>197</v>
      </c>
      <c r="Z100" s="1129">
        <f>tab!B$50</f>
        <v>0.6</v>
      </c>
      <c r="AA100" s="1101" t="s">
        <v>499</v>
      </c>
      <c r="AB100" s="1101" t="s">
        <v>500</v>
      </c>
      <c r="AC100" s="1101" t="s">
        <v>501</v>
      </c>
      <c r="AD100" s="1048" t="s">
        <v>491</v>
      </c>
      <c r="AE100" s="1048" t="s">
        <v>491</v>
      </c>
      <c r="AF100" s="916" t="s">
        <v>492</v>
      </c>
      <c r="AG100" s="1092"/>
      <c r="AH100" s="1093" t="s">
        <v>224</v>
      </c>
      <c r="AI100" s="1063"/>
      <c r="AJ100" s="1063"/>
      <c r="AP100" s="675"/>
    </row>
    <row r="101" spans="2:42" ht="12.75" customHeight="1" x14ac:dyDescent="0.3">
      <c r="C101" s="114"/>
      <c r="D101" s="912"/>
      <c r="E101" s="912"/>
      <c r="F101" s="912"/>
      <c r="G101" s="912"/>
      <c r="H101" s="912"/>
      <c r="I101" s="912"/>
      <c r="J101" s="912"/>
      <c r="K101" s="913"/>
      <c r="L101" s="912"/>
      <c r="M101" s="912"/>
      <c r="N101" s="912"/>
      <c r="O101" s="912"/>
      <c r="P101" s="912"/>
      <c r="Q101" s="913"/>
      <c r="R101" s="935"/>
      <c r="S101" s="917"/>
      <c r="T101" s="936"/>
      <c r="U101" s="113"/>
      <c r="V101" s="1063"/>
      <c r="W101" s="1063"/>
      <c r="Y101" s="915"/>
      <c r="Z101" s="1064"/>
      <c r="AA101" s="1064"/>
      <c r="AB101" s="1064"/>
      <c r="AC101" s="1064"/>
      <c r="AE101" s="1063"/>
      <c r="AF101" s="1063"/>
      <c r="AG101" s="1092"/>
      <c r="AH101" s="1093"/>
      <c r="AM101" s="8"/>
      <c r="AN101" s="8"/>
      <c r="AP101" s="291"/>
    </row>
    <row r="102" spans="2:42" ht="12.75" customHeight="1" x14ac:dyDescent="0.3">
      <c r="C102" s="114"/>
      <c r="D102" s="353" t="str">
        <f>IF(obp!D59="","",obp!D59)</f>
        <v/>
      </c>
      <c r="E102" s="388" t="str">
        <f>IF(obp!E59=0,"",obp!E59)</f>
        <v>nn</v>
      </c>
      <c r="F102" s="684" t="str">
        <f>IF(obp!F59="","",obp!F59+1)</f>
        <v/>
      </c>
      <c r="G102" s="710" t="str">
        <f>IF(obp!G59="","",obp!G59)</f>
        <v/>
      </c>
      <c r="H102" s="684">
        <f>IF(obp!H59=0,"",obp!H59)</f>
        <v>8</v>
      </c>
      <c r="I102" s="389">
        <f>IF(J102="","",(IF(obp!I59+1&gt;LOOKUP(H102,schaal2019,regels2019),obp!I59,obp!I59+1)))</f>
        <v>10</v>
      </c>
      <c r="J102" s="711">
        <f>IF(obp!J59="","",obp!J59)</f>
        <v>1</v>
      </c>
      <c r="K102" s="370"/>
      <c r="L102" s="1049">
        <f>IF(obp!L59="","",obp!L59)</f>
        <v>0</v>
      </c>
      <c r="M102" s="1049">
        <f>IF(obp!M59="","",obp!M59)</f>
        <v>0</v>
      </c>
      <c r="N102" s="1051">
        <f t="shared" ref="N102:N131" si="48">IF(J102="","",IF((J102*40)&gt;40,40,((J102*40))))</f>
        <v>40</v>
      </c>
      <c r="O102" s="1051"/>
      <c r="P102" s="1125">
        <f t="shared" ref="P102:P131" si="49">IF(J102="","",(SUM(L102:O102)))</f>
        <v>40</v>
      </c>
      <c r="Q102" s="472"/>
      <c r="R102" s="923">
        <f>IF(J102="","",(((1659*J102)-P102)*AB102))</f>
        <v>58946.82386980109</v>
      </c>
      <c r="S102" s="923">
        <f t="shared" ref="S102:S131" si="50">IF(J102="","",(P102*AC102)+(AA102*AD102)+((AE102*AA102*(1-AF102))))</f>
        <v>1456.3761301989152</v>
      </c>
      <c r="T102" s="925">
        <f t="shared" ref="T102:T131" si="51">IF(J102="","",(R102+S102))</f>
        <v>60403.200000000004</v>
      </c>
      <c r="U102" s="545"/>
      <c r="V102" s="1103"/>
      <c r="W102" s="1103"/>
      <c r="X102" s="1060"/>
      <c r="Y102" s="1095">
        <f t="shared" ref="Y102:Y131" si="52">ROUND(5/12*VLOOKUP(H102,salaris2020,I102+1,FALSE)+7/12*VLOOKUP(H102,salaris2020,I102+1,FALSE),0)</f>
        <v>3146</v>
      </c>
      <c r="Z102" s="1094">
        <f>tab!B$50</f>
        <v>0.6</v>
      </c>
      <c r="AA102" s="1126">
        <f t="shared" ref="AA102:AA131" si="53">(Y102*12/1659)</f>
        <v>22.755877034358047</v>
      </c>
      <c r="AB102" s="1126">
        <f t="shared" ref="AB102:AB131" si="54">(Y102*12*(1+Z102))/1659</f>
        <v>36.409403254972879</v>
      </c>
      <c r="AC102" s="1126">
        <f t="shared" ref="AC102:AC131" si="55">AB102-AA102</f>
        <v>13.653526220614832</v>
      </c>
      <c r="AD102" s="1128">
        <f t="shared" ref="AD102:AD131" si="56">(N102+O102)</f>
        <v>40</v>
      </c>
      <c r="AE102" s="1128">
        <f t="shared" ref="AE102:AE131" si="57">(L102+M102)</f>
        <v>0</v>
      </c>
      <c r="AF102" s="1096">
        <f>IF(H102&gt;8,tab!$B$51,tab!$B$54)</f>
        <v>0.4</v>
      </c>
      <c r="AG102" s="1097">
        <f t="shared" ref="AG102:AG131" si="58">IF(F102&lt;25,0,IF(F102=25,25,IF(F102&lt;40,0,IF(F102=40,40,IF(F102&gt;=40,0)))))</f>
        <v>0</v>
      </c>
      <c r="AH102" s="1093">
        <f t="shared" ref="AH102:AH131" si="59">IF(AG102=25,(Y102*1.08*(J102)/2),IF(AG102=40,(Y102*1.08*(J102)),IF(AG102=0,0)))</f>
        <v>0</v>
      </c>
      <c r="AK102" s="176"/>
    </row>
    <row r="103" spans="2:42" ht="12.75" customHeight="1" x14ac:dyDescent="0.3">
      <c r="C103" s="114"/>
      <c r="D103" s="353" t="str">
        <f>IF(obp!D60="","",obp!D60)</f>
        <v/>
      </c>
      <c r="E103" s="388" t="str">
        <f>IF(obp!E60=0,"",obp!E60)</f>
        <v/>
      </c>
      <c r="F103" s="684" t="str">
        <f>IF(obp!F60="","",obp!F60+1)</f>
        <v/>
      </c>
      <c r="G103" s="710" t="str">
        <f>IF(obp!G60="","",obp!G60)</f>
        <v/>
      </c>
      <c r="H103" s="684" t="str">
        <f>IF(obp!H60=0,"",obp!H60)</f>
        <v/>
      </c>
      <c r="I103" s="389" t="str">
        <f>IF(J103="","",(IF(obp!I60+1&gt;LOOKUP(H103,schaal2019,regels2019),obp!I60,obp!I60+1)))</f>
        <v/>
      </c>
      <c r="J103" s="711" t="str">
        <f>IF(obp!J60="","",obp!J60)</f>
        <v/>
      </c>
      <c r="K103" s="370"/>
      <c r="L103" s="1049">
        <f>IF(obp!L60="","",obp!L60)</f>
        <v>0</v>
      </c>
      <c r="M103" s="1049">
        <f>IF(obp!M60="","",obp!M60)</f>
        <v>0</v>
      </c>
      <c r="N103" s="1051" t="str">
        <f t="shared" si="48"/>
        <v/>
      </c>
      <c r="O103" s="1051"/>
      <c r="P103" s="1125" t="str">
        <f t="shared" si="49"/>
        <v/>
      </c>
      <c r="Q103" s="472"/>
      <c r="R103" s="923" t="str">
        <f t="shared" ref="R103:R131" si="60">IF(J103="","",(((1659*J103)-P103)*AB103))</f>
        <v/>
      </c>
      <c r="S103" s="923" t="str">
        <f t="shared" si="50"/>
        <v/>
      </c>
      <c r="T103" s="925" t="str">
        <f t="shared" si="51"/>
        <v/>
      </c>
      <c r="U103" s="545"/>
      <c r="V103" s="1103"/>
      <c r="W103" s="1103"/>
      <c r="X103" s="1060"/>
      <c r="Y103" s="1095" t="e">
        <f t="shared" si="52"/>
        <v>#VALUE!</v>
      </c>
      <c r="Z103" s="1094">
        <f>tab!B$50</f>
        <v>0.6</v>
      </c>
      <c r="AA103" s="1126" t="e">
        <f t="shared" si="53"/>
        <v>#VALUE!</v>
      </c>
      <c r="AB103" s="1126" t="e">
        <f t="shared" si="54"/>
        <v>#VALUE!</v>
      </c>
      <c r="AC103" s="1126" t="e">
        <f t="shared" si="55"/>
        <v>#VALUE!</v>
      </c>
      <c r="AD103" s="1128" t="e">
        <f t="shared" si="56"/>
        <v>#VALUE!</v>
      </c>
      <c r="AE103" s="1128">
        <f t="shared" si="57"/>
        <v>0</v>
      </c>
      <c r="AF103" s="1096">
        <f>IF(H103&gt;8,tab!$B$51,tab!$B$54)</f>
        <v>0.5</v>
      </c>
      <c r="AG103" s="1097">
        <f t="shared" si="58"/>
        <v>0</v>
      </c>
      <c r="AH103" s="1093">
        <f t="shared" si="59"/>
        <v>0</v>
      </c>
      <c r="AK103" s="176"/>
    </row>
    <row r="104" spans="2:42" ht="12.75" customHeight="1" x14ac:dyDescent="0.3">
      <c r="C104" s="114"/>
      <c r="D104" s="353" t="str">
        <f>IF(obp!D61="","",obp!D61)</f>
        <v/>
      </c>
      <c r="E104" s="388" t="str">
        <f>IF(obp!E61=0,"",obp!E61)</f>
        <v/>
      </c>
      <c r="F104" s="684" t="str">
        <f>IF(obp!F61="","",obp!F61+1)</f>
        <v/>
      </c>
      <c r="G104" s="710" t="str">
        <f>IF(obp!G61="","",obp!G61)</f>
        <v/>
      </c>
      <c r="H104" s="684" t="str">
        <f>IF(obp!H61=0,"",obp!H61)</f>
        <v/>
      </c>
      <c r="I104" s="389" t="str">
        <f>IF(J104="","",(IF(obp!I61+1&gt;LOOKUP(H104,schaal2019,regels2019),obp!I61,obp!I61+1)))</f>
        <v/>
      </c>
      <c r="J104" s="711" t="str">
        <f>IF(obp!J61="","",obp!J61)</f>
        <v/>
      </c>
      <c r="K104" s="370"/>
      <c r="L104" s="1049">
        <f>IF(obp!L61="","",obp!L61)</f>
        <v>0</v>
      </c>
      <c r="M104" s="1049">
        <f>IF(obp!M61="","",obp!M61)</f>
        <v>0</v>
      </c>
      <c r="N104" s="1051" t="str">
        <f t="shared" si="48"/>
        <v/>
      </c>
      <c r="O104" s="1051"/>
      <c r="P104" s="1125" t="str">
        <f t="shared" si="49"/>
        <v/>
      </c>
      <c r="Q104" s="472"/>
      <c r="R104" s="923" t="str">
        <f t="shared" si="60"/>
        <v/>
      </c>
      <c r="S104" s="923" t="str">
        <f t="shared" si="50"/>
        <v/>
      </c>
      <c r="T104" s="925" t="str">
        <f t="shared" si="51"/>
        <v/>
      </c>
      <c r="U104" s="545"/>
      <c r="V104" s="1103"/>
      <c r="W104" s="1103"/>
      <c r="X104" s="1060"/>
      <c r="Y104" s="1095" t="e">
        <f t="shared" si="52"/>
        <v>#VALUE!</v>
      </c>
      <c r="Z104" s="1094">
        <f>tab!B$50</f>
        <v>0.6</v>
      </c>
      <c r="AA104" s="1126" t="e">
        <f t="shared" si="53"/>
        <v>#VALUE!</v>
      </c>
      <c r="AB104" s="1126" t="e">
        <f t="shared" si="54"/>
        <v>#VALUE!</v>
      </c>
      <c r="AC104" s="1126" t="e">
        <f t="shared" si="55"/>
        <v>#VALUE!</v>
      </c>
      <c r="AD104" s="1128" t="e">
        <f t="shared" si="56"/>
        <v>#VALUE!</v>
      </c>
      <c r="AE104" s="1128">
        <f t="shared" si="57"/>
        <v>0</v>
      </c>
      <c r="AF104" s="1096">
        <f>IF(H104&gt;8,tab!$B$51,tab!$B$54)</f>
        <v>0.5</v>
      </c>
      <c r="AG104" s="1097">
        <f t="shared" si="58"/>
        <v>0</v>
      </c>
      <c r="AH104" s="1093">
        <f t="shared" si="59"/>
        <v>0</v>
      </c>
      <c r="AK104" s="176"/>
    </row>
    <row r="105" spans="2:42" ht="12.75" customHeight="1" x14ac:dyDescent="0.3">
      <c r="C105" s="114"/>
      <c r="D105" s="353" t="str">
        <f>IF(obp!D62="","",obp!D62)</f>
        <v/>
      </c>
      <c r="E105" s="388" t="str">
        <f>IF(obp!E62=0,"",obp!E62)</f>
        <v/>
      </c>
      <c r="F105" s="684" t="str">
        <f>IF(obp!F62="","",obp!F62+1)</f>
        <v/>
      </c>
      <c r="G105" s="710" t="str">
        <f>IF(obp!G62="","",obp!G62)</f>
        <v/>
      </c>
      <c r="H105" s="684" t="str">
        <f>IF(obp!H62=0,"",obp!H62)</f>
        <v/>
      </c>
      <c r="I105" s="389" t="str">
        <f>IF(J105="","",(IF(obp!I62+1&gt;LOOKUP(H105,schaal2019,regels2019),obp!I62,obp!I62+1)))</f>
        <v/>
      </c>
      <c r="J105" s="711" t="str">
        <f>IF(obp!J62="","",obp!J62)</f>
        <v/>
      </c>
      <c r="K105" s="370"/>
      <c r="L105" s="1049">
        <f>IF(obp!L62="","",obp!L62)</f>
        <v>0</v>
      </c>
      <c r="M105" s="1049">
        <f>IF(obp!M62="","",obp!M62)</f>
        <v>0</v>
      </c>
      <c r="N105" s="1051" t="str">
        <f t="shared" si="48"/>
        <v/>
      </c>
      <c r="O105" s="1051"/>
      <c r="P105" s="1125" t="str">
        <f t="shared" si="49"/>
        <v/>
      </c>
      <c r="Q105" s="472"/>
      <c r="R105" s="923" t="str">
        <f t="shared" si="60"/>
        <v/>
      </c>
      <c r="S105" s="923" t="str">
        <f t="shared" si="50"/>
        <v/>
      </c>
      <c r="T105" s="925" t="str">
        <f t="shared" si="51"/>
        <v/>
      </c>
      <c r="U105" s="545"/>
      <c r="V105" s="1103"/>
      <c r="W105" s="1103"/>
      <c r="X105" s="1060"/>
      <c r="Y105" s="1095" t="e">
        <f t="shared" si="52"/>
        <v>#VALUE!</v>
      </c>
      <c r="Z105" s="1094">
        <f>tab!B$50</f>
        <v>0.6</v>
      </c>
      <c r="AA105" s="1126" t="e">
        <f t="shared" si="53"/>
        <v>#VALUE!</v>
      </c>
      <c r="AB105" s="1126" t="e">
        <f t="shared" si="54"/>
        <v>#VALUE!</v>
      </c>
      <c r="AC105" s="1126" t="e">
        <f t="shared" si="55"/>
        <v>#VALUE!</v>
      </c>
      <c r="AD105" s="1128" t="e">
        <f t="shared" si="56"/>
        <v>#VALUE!</v>
      </c>
      <c r="AE105" s="1128">
        <f t="shared" si="57"/>
        <v>0</v>
      </c>
      <c r="AF105" s="1096">
        <f>IF(H105&gt;8,tab!$B$51,tab!$B$54)</f>
        <v>0.5</v>
      </c>
      <c r="AG105" s="1097">
        <f t="shared" si="58"/>
        <v>0</v>
      </c>
      <c r="AH105" s="1093">
        <f t="shared" si="59"/>
        <v>0</v>
      </c>
      <c r="AK105" s="176"/>
    </row>
    <row r="106" spans="2:42" ht="12.75" customHeight="1" x14ac:dyDescent="0.3">
      <c r="C106" s="114"/>
      <c r="D106" s="353" t="str">
        <f>IF(obp!D63="","",obp!D63)</f>
        <v/>
      </c>
      <c r="E106" s="388" t="str">
        <f>IF(obp!E63=0,"",obp!E63)</f>
        <v/>
      </c>
      <c r="F106" s="684" t="str">
        <f>IF(obp!F63="","",obp!F63+1)</f>
        <v/>
      </c>
      <c r="G106" s="710" t="str">
        <f>IF(obp!G63="","",obp!G63)</f>
        <v/>
      </c>
      <c r="H106" s="684" t="str">
        <f>IF(obp!H63=0,"",obp!H63)</f>
        <v/>
      </c>
      <c r="I106" s="389" t="str">
        <f>IF(J106="","",(IF(obp!I63+1&gt;LOOKUP(H106,schaal2019,regels2019),obp!I63,obp!I63+1)))</f>
        <v/>
      </c>
      <c r="J106" s="711" t="str">
        <f>IF(obp!J63="","",obp!J63)</f>
        <v/>
      </c>
      <c r="K106" s="370"/>
      <c r="L106" s="1049">
        <f>IF(obp!L63="","",obp!L63)</f>
        <v>0</v>
      </c>
      <c r="M106" s="1049">
        <f>IF(obp!M63="","",obp!M63)</f>
        <v>0</v>
      </c>
      <c r="N106" s="1051" t="str">
        <f t="shared" si="48"/>
        <v/>
      </c>
      <c r="O106" s="1051"/>
      <c r="P106" s="1125" t="str">
        <f t="shared" si="49"/>
        <v/>
      </c>
      <c r="Q106" s="472"/>
      <c r="R106" s="923" t="str">
        <f t="shared" si="60"/>
        <v/>
      </c>
      <c r="S106" s="923" t="str">
        <f t="shared" si="50"/>
        <v/>
      </c>
      <c r="T106" s="925" t="str">
        <f t="shared" si="51"/>
        <v/>
      </c>
      <c r="U106" s="545"/>
      <c r="V106" s="1103"/>
      <c r="W106" s="1103"/>
      <c r="X106" s="1060"/>
      <c r="Y106" s="1095" t="e">
        <f t="shared" si="52"/>
        <v>#VALUE!</v>
      </c>
      <c r="Z106" s="1094">
        <f>tab!B$50</f>
        <v>0.6</v>
      </c>
      <c r="AA106" s="1126" t="e">
        <f t="shared" si="53"/>
        <v>#VALUE!</v>
      </c>
      <c r="AB106" s="1126" t="e">
        <f t="shared" si="54"/>
        <v>#VALUE!</v>
      </c>
      <c r="AC106" s="1126" t="e">
        <f t="shared" si="55"/>
        <v>#VALUE!</v>
      </c>
      <c r="AD106" s="1128" t="e">
        <f t="shared" si="56"/>
        <v>#VALUE!</v>
      </c>
      <c r="AE106" s="1128">
        <f t="shared" si="57"/>
        <v>0</v>
      </c>
      <c r="AF106" s="1096">
        <f>IF(H106&gt;8,tab!$B$51,tab!$B$54)</f>
        <v>0.5</v>
      </c>
      <c r="AG106" s="1097">
        <f t="shared" si="58"/>
        <v>0</v>
      </c>
      <c r="AH106" s="1093">
        <f t="shared" si="59"/>
        <v>0</v>
      </c>
      <c r="AK106" s="176"/>
    </row>
    <row r="107" spans="2:42" ht="12.75" customHeight="1" x14ac:dyDescent="0.3">
      <c r="C107" s="114"/>
      <c r="D107" s="353" t="str">
        <f>IF(obp!D64="","",obp!D64)</f>
        <v/>
      </c>
      <c r="E107" s="388" t="str">
        <f>IF(obp!E64=0,"",obp!E64)</f>
        <v/>
      </c>
      <c r="F107" s="684" t="str">
        <f>IF(obp!F64="","",obp!F64+1)</f>
        <v/>
      </c>
      <c r="G107" s="710" t="str">
        <f>IF(obp!G64="","",obp!G64)</f>
        <v/>
      </c>
      <c r="H107" s="684" t="str">
        <f>IF(obp!H64=0,"",obp!H64)</f>
        <v/>
      </c>
      <c r="I107" s="389" t="str">
        <f>IF(J107="","",(IF(obp!I64+1&gt;LOOKUP(H107,schaal2019,regels2019),obp!I64,obp!I64+1)))</f>
        <v/>
      </c>
      <c r="J107" s="711" t="str">
        <f>IF(obp!J64="","",obp!J64)</f>
        <v/>
      </c>
      <c r="K107" s="370"/>
      <c r="L107" s="1049">
        <f>IF(obp!L64="","",obp!L64)</f>
        <v>0</v>
      </c>
      <c r="M107" s="1049">
        <f>IF(obp!M64="","",obp!M64)</f>
        <v>0</v>
      </c>
      <c r="N107" s="1051" t="str">
        <f t="shared" si="48"/>
        <v/>
      </c>
      <c r="O107" s="1051"/>
      <c r="P107" s="1125" t="str">
        <f t="shared" si="49"/>
        <v/>
      </c>
      <c r="Q107" s="472"/>
      <c r="R107" s="923" t="str">
        <f t="shared" si="60"/>
        <v/>
      </c>
      <c r="S107" s="923" t="str">
        <f t="shared" si="50"/>
        <v/>
      </c>
      <c r="T107" s="925" t="str">
        <f t="shared" si="51"/>
        <v/>
      </c>
      <c r="U107" s="545"/>
      <c r="V107" s="1103"/>
      <c r="W107" s="1103"/>
      <c r="X107" s="1060"/>
      <c r="Y107" s="1095" t="e">
        <f t="shared" si="52"/>
        <v>#VALUE!</v>
      </c>
      <c r="Z107" s="1094">
        <f>tab!B$50</f>
        <v>0.6</v>
      </c>
      <c r="AA107" s="1126" t="e">
        <f t="shared" si="53"/>
        <v>#VALUE!</v>
      </c>
      <c r="AB107" s="1126" t="e">
        <f t="shared" si="54"/>
        <v>#VALUE!</v>
      </c>
      <c r="AC107" s="1126" t="e">
        <f t="shared" si="55"/>
        <v>#VALUE!</v>
      </c>
      <c r="AD107" s="1128" t="e">
        <f t="shared" si="56"/>
        <v>#VALUE!</v>
      </c>
      <c r="AE107" s="1128">
        <f t="shared" si="57"/>
        <v>0</v>
      </c>
      <c r="AF107" s="1096">
        <f>IF(H107&gt;8,tab!$B$51,tab!$B$54)</f>
        <v>0.5</v>
      </c>
      <c r="AG107" s="1097">
        <f t="shared" si="58"/>
        <v>0</v>
      </c>
      <c r="AH107" s="1093">
        <f t="shared" si="59"/>
        <v>0</v>
      </c>
      <c r="AK107" s="176"/>
    </row>
    <row r="108" spans="2:42" ht="12.75" customHeight="1" x14ac:dyDescent="0.3">
      <c r="C108" s="114"/>
      <c r="D108" s="353" t="str">
        <f>IF(obp!D65="","",obp!D65)</f>
        <v/>
      </c>
      <c r="E108" s="388" t="str">
        <f>IF(obp!E65=0,"",obp!E65)</f>
        <v/>
      </c>
      <c r="F108" s="684" t="str">
        <f>IF(obp!F65="","",obp!F65+1)</f>
        <v/>
      </c>
      <c r="G108" s="710" t="str">
        <f>IF(obp!G65="","",obp!G65)</f>
        <v/>
      </c>
      <c r="H108" s="684" t="str">
        <f>IF(obp!H65=0,"",obp!H65)</f>
        <v/>
      </c>
      <c r="I108" s="389" t="str">
        <f>IF(J108="","",(IF(obp!I65+1&gt;LOOKUP(H108,schaal2019,regels2019),obp!I65,obp!I65+1)))</f>
        <v/>
      </c>
      <c r="J108" s="711" t="str">
        <f>IF(obp!J65="","",obp!J65)</f>
        <v/>
      </c>
      <c r="K108" s="370"/>
      <c r="L108" s="1049">
        <f>IF(obp!L65="","",obp!L65)</f>
        <v>0</v>
      </c>
      <c r="M108" s="1049">
        <f>IF(obp!M65="","",obp!M65)</f>
        <v>0</v>
      </c>
      <c r="N108" s="1051" t="str">
        <f t="shared" si="48"/>
        <v/>
      </c>
      <c r="O108" s="1051"/>
      <c r="P108" s="1125" t="str">
        <f t="shared" si="49"/>
        <v/>
      </c>
      <c r="Q108" s="472"/>
      <c r="R108" s="923" t="str">
        <f t="shared" si="60"/>
        <v/>
      </c>
      <c r="S108" s="923" t="str">
        <f t="shared" si="50"/>
        <v/>
      </c>
      <c r="T108" s="925" t="str">
        <f t="shared" si="51"/>
        <v/>
      </c>
      <c r="U108" s="545"/>
      <c r="V108" s="1103"/>
      <c r="W108" s="1103"/>
      <c r="X108" s="1060"/>
      <c r="Y108" s="1095" t="e">
        <f t="shared" si="52"/>
        <v>#VALUE!</v>
      </c>
      <c r="Z108" s="1094">
        <f>tab!B$50</f>
        <v>0.6</v>
      </c>
      <c r="AA108" s="1126" t="e">
        <f t="shared" si="53"/>
        <v>#VALUE!</v>
      </c>
      <c r="AB108" s="1126" t="e">
        <f t="shared" si="54"/>
        <v>#VALUE!</v>
      </c>
      <c r="AC108" s="1126" t="e">
        <f t="shared" si="55"/>
        <v>#VALUE!</v>
      </c>
      <c r="AD108" s="1128" t="e">
        <f t="shared" si="56"/>
        <v>#VALUE!</v>
      </c>
      <c r="AE108" s="1128">
        <f t="shared" si="57"/>
        <v>0</v>
      </c>
      <c r="AF108" s="1096">
        <f>IF(H108&gt;8,tab!$B$51,tab!$B$54)</f>
        <v>0.5</v>
      </c>
      <c r="AG108" s="1097">
        <f t="shared" si="58"/>
        <v>0</v>
      </c>
      <c r="AH108" s="1093">
        <f t="shared" si="59"/>
        <v>0</v>
      </c>
      <c r="AK108" s="176"/>
    </row>
    <row r="109" spans="2:42" ht="12.75" customHeight="1" x14ac:dyDescent="0.3">
      <c r="C109" s="114"/>
      <c r="D109" s="353" t="str">
        <f>IF(obp!D66="","",obp!D66)</f>
        <v/>
      </c>
      <c r="E109" s="388" t="str">
        <f>IF(obp!E66=0,"",obp!E66)</f>
        <v/>
      </c>
      <c r="F109" s="684" t="str">
        <f>IF(obp!F66="","",obp!F66+1)</f>
        <v/>
      </c>
      <c r="G109" s="710" t="str">
        <f>IF(obp!G66="","",obp!G66)</f>
        <v/>
      </c>
      <c r="H109" s="684" t="str">
        <f>IF(obp!H66=0,"",obp!H66)</f>
        <v/>
      </c>
      <c r="I109" s="389" t="str">
        <f>IF(J109="","",(IF(obp!I66+1&gt;LOOKUP(H109,schaal2019,regels2019),obp!I66,obp!I66+1)))</f>
        <v/>
      </c>
      <c r="J109" s="711" t="str">
        <f>IF(obp!J66="","",obp!J66)</f>
        <v/>
      </c>
      <c r="K109" s="370"/>
      <c r="L109" s="1049">
        <f>IF(obp!L66="","",obp!L66)</f>
        <v>0</v>
      </c>
      <c r="M109" s="1049">
        <f>IF(obp!M66="","",obp!M66)</f>
        <v>0</v>
      </c>
      <c r="N109" s="1051" t="str">
        <f t="shared" si="48"/>
        <v/>
      </c>
      <c r="O109" s="1051"/>
      <c r="P109" s="1125" t="str">
        <f t="shared" si="49"/>
        <v/>
      </c>
      <c r="Q109" s="472"/>
      <c r="R109" s="923" t="str">
        <f t="shared" si="60"/>
        <v/>
      </c>
      <c r="S109" s="923" t="str">
        <f t="shared" si="50"/>
        <v/>
      </c>
      <c r="T109" s="925" t="str">
        <f t="shared" si="51"/>
        <v/>
      </c>
      <c r="U109" s="545"/>
      <c r="V109" s="1103"/>
      <c r="W109" s="1103"/>
      <c r="X109" s="1060"/>
      <c r="Y109" s="1095" t="e">
        <f t="shared" si="52"/>
        <v>#VALUE!</v>
      </c>
      <c r="Z109" s="1094">
        <f>tab!B$50</f>
        <v>0.6</v>
      </c>
      <c r="AA109" s="1126" t="e">
        <f t="shared" si="53"/>
        <v>#VALUE!</v>
      </c>
      <c r="AB109" s="1126" t="e">
        <f t="shared" si="54"/>
        <v>#VALUE!</v>
      </c>
      <c r="AC109" s="1126" t="e">
        <f t="shared" si="55"/>
        <v>#VALUE!</v>
      </c>
      <c r="AD109" s="1128" t="e">
        <f t="shared" si="56"/>
        <v>#VALUE!</v>
      </c>
      <c r="AE109" s="1128">
        <f t="shared" si="57"/>
        <v>0</v>
      </c>
      <c r="AF109" s="1096">
        <f>IF(H109&gt;8,tab!$B$51,tab!$B$54)</f>
        <v>0.5</v>
      </c>
      <c r="AG109" s="1097">
        <f t="shared" si="58"/>
        <v>0</v>
      </c>
      <c r="AH109" s="1093">
        <f t="shared" si="59"/>
        <v>0</v>
      </c>
      <c r="AK109" s="176"/>
    </row>
    <row r="110" spans="2:42" ht="12.75" customHeight="1" x14ac:dyDescent="0.3">
      <c r="C110" s="114"/>
      <c r="D110" s="353" t="str">
        <f>IF(obp!D67="","",obp!D67)</f>
        <v/>
      </c>
      <c r="E110" s="388" t="str">
        <f>IF(obp!E67=0,"",obp!E67)</f>
        <v/>
      </c>
      <c r="F110" s="684" t="str">
        <f>IF(obp!F67="","",obp!F67+1)</f>
        <v/>
      </c>
      <c r="G110" s="710" t="str">
        <f>IF(obp!G67="","",obp!G67)</f>
        <v/>
      </c>
      <c r="H110" s="684" t="str">
        <f>IF(obp!H67=0,"",obp!H67)</f>
        <v/>
      </c>
      <c r="I110" s="389" t="str">
        <f>IF(J110="","",(IF(obp!I67+1&gt;LOOKUP(H110,schaal2019,regels2019),obp!I67,obp!I67+1)))</f>
        <v/>
      </c>
      <c r="J110" s="711" t="str">
        <f>IF(obp!J67="","",obp!J67)</f>
        <v/>
      </c>
      <c r="K110" s="370"/>
      <c r="L110" s="1049">
        <f>IF(obp!L67="","",obp!L67)</f>
        <v>0</v>
      </c>
      <c r="M110" s="1049">
        <f>IF(obp!M67="","",obp!M67)</f>
        <v>0</v>
      </c>
      <c r="N110" s="1051" t="str">
        <f t="shared" si="48"/>
        <v/>
      </c>
      <c r="O110" s="1051"/>
      <c r="P110" s="1125" t="str">
        <f t="shared" si="49"/>
        <v/>
      </c>
      <c r="Q110" s="472"/>
      <c r="R110" s="923" t="str">
        <f t="shared" si="60"/>
        <v/>
      </c>
      <c r="S110" s="923" t="str">
        <f t="shared" si="50"/>
        <v/>
      </c>
      <c r="T110" s="925" t="str">
        <f t="shared" si="51"/>
        <v/>
      </c>
      <c r="U110" s="545"/>
      <c r="V110" s="1103"/>
      <c r="W110" s="1103"/>
      <c r="X110" s="1060"/>
      <c r="Y110" s="1095" t="e">
        <f t="shared" si="52"/>
        <v>#VALUE!</v>
      </c>
      <c r="Z110" s="1094">
        <f>tab!B$50</f>
        <v>0.6</v>
      </c>
      <c r="AA110" s="1126" t="e">
        <f t="shared" si="53"/>
        <v>#VALUE!</v>
      </c>
      <c r="AB110" s="1126" t="e">
        <f t="shared" si="54"/>
        <v>#VALUE!</v>
      </c>
      <c r="AC110" s="1126" t="e">
        <f t="shared" si="55"/>
        <v>#VALUE!</v>
      </c>
      <c r="AD110" s="1128" t="e">
        <f t="shared" si="56"/>
        <v>#VALUE!</v>
      </c>
      <c r="AE110" s="1128">
        <f t="shared" si="57"/>
        <v>0</v>
      </c>
      <c r="AF110" s="1096">
        <f>IF(H110&gt;8,tab!$B$51,tab!$B$54)</f>
        <v>0.5</v>
      </c>
      <c r="AG110" s="1097">
        <f t="shared" si="58"/>
        <v>0</v>
      </c>
      <c r="AH110" s="1093">
        <f t="shared" si="59"/>
        <v>0</v>
      </c>
      <c r="AK110" s="176"/>
    </row>
    <row r="111" spans="2:42" ht="12.75" customHeight="1" x14ac:dyDescent="0.3">
      <c r="C111" s="114"/>
      <c r="D111" s="353" t="str">
        <f>IF(obp!D68="","",obp!D68)</f>
        <v/>
      </c>
      <c r="E111" s="388" t="str">
        <f>IF(obp!E68=0,"",obp!E68)</f>
        <v/>
      </c>
      <c r="F111" s="684" t="str">
        <f>IF(obp!F68="","",obp!F68+1)</f>
        <v/>
      </c>
      <c r="G111" s="710" t="str">
        <f>IF(obp!G68="","",obp!G68)</f>
        <v/>
      </c>
      <c r="H111" s="684" t="str">
        <f>IF(obp!H68=0,"",obp!H68)</f>
        <v/>
      </c>
      <c r="I111" s="389" t="str">
        <f>IF(J111="","",(IF(obp!I68+1&gt;LOOKUP(H111,schaal2019,regels2019),obp!I68,obp!I68+1)))</f>
        <v/>
      </c>
      <c r="J111" s="711" t="str">
        <f>IF(obp!J68="","",obp!J68)</f>
        <v/>
      </c>
      <c r="K111" s="370"/>
      <c r="L111" s="1049">
        <f>IF(obp!L68="","",obp!L68)</f>
        <v>0</v>
      </c>
      <c r="M111" s="1049">
        <f>IF(obp!M68="","",obp!M68)</f>
        <v>0</v>
      </c>
      <c r="N111" s="1051" t="str">
        <f t="shared" si="48"/>
        <v/>
      </c>
      <c r="O111" s="1051"/>
      <c r="P111" s="1125" t="str">
        <f t="shared" si="49"/>
        <v/>
      </c>
      <c r="Q111" s="472"/>
      <c r="R111" s="923" t="str">
        <f t="shared" si="60"/>
        <v/>
      </c>
      <c r="S111" s="923" t="str">
        <f t="shared" si="50"/>
        <v/>
      </c>
      <c r="T111" s="925" t="str">
        <f t="shared" si="51"/>
        <v/>
      </c>
      <c r="U111" s="545"/>
      <c r="V111" s="1103"/>
      <c r="W111" s="1103"/>
      <c r="X111" s="1060"/>
      <c r="Y111" s="1095" t="e">
        <f t="shared" si="52"/>
        <v>#VALUE!</v>
      </c>
      <c r="Z111" s="1094">
        <f>tab!B$50</f>
        <v>0.6</v>
      </c>
      <c r="AA111" s="1126" t="e">
        <f t="shared" si="53"/>
        <v>#VALUE!</v>
      </c>
      <c r="AB111" s="1126" t="e">
        <f t="shared" si="54"/>
        <v>#VALUE!</v>
      </c>
      <c r="AC111" s="1126" t="e">
        <f t="shared" si="55"/>
        <v>#VALUE!</v>
      </c>
      <c r="AD111" s="1128" t="e">
        <f t="shared" si="56"/>
        <v>#VALUE!</v>
      </c>
      <c r="AE111" s="1128">
        <f t="shared" si="57"/>
        <v>0</v>
      </c>
      <c r="AF111" s="1096">
        <f>IF(H111&gt;8,tab!$B$51,tab!$B$54)</f>
        <v>0.5</v>
      </c>
      <c r="AG111" s="1097">
        <f t="shared" si="58"/>
        <v>0</v>
      </c>
      <c r="AH111" s="1093">
        <f t="shared" si="59"/>
        <v>0</v>
      </c>
      <c r="AK111" s="176"/>
    </row>
    <row r="112" spans="2:42" ht="12.75" customHeight="1" x14ac:dyDescent="0.3">
      <c r="C112" s="114"/>
      <c r="D112" s="353" t="str">
        <f>IF(obp!D69="","",obp!D69)</f>
        <v/>
      </c>
      <c r="E112" s="388" t="str">
        <f>IF(obp!E69=0,"",obp!E69)</f>
        <v/>
      </c>
      <c r="F112" s="684" t="str">
        <f>IF(obp!F69="","",obp!F69+1)</f>
        <v/>
      </c>
      <c r="G112" s="710" t="str">
        <f>IF(obp!G69="","",obp!G69)</f>
        <v/>
      </c>
      <c r="H112" s="684" t="str">
        <f>IF(obp!H69=0,"",obp!H69)</f>
        <v/>
      </c>
      <c r="I112" s="389" t="str">
        <f>IF(J112="","",(IF(obp!I69+1&gt;LOOKUP(H112,schaal2019,regels2019),obp!I69,obp!I69+1)))</f>
        <v/>
      </c>
      <c r="J112" s="711" t="str">
        <f>IF(obp!J69="","",obp!J69)</f>
        <v/>
      </c>
      <c r="K112" s="370"/>
      <c r="L112" s="1049">
        <f>IF(obp!L69="","",obp!L69)</f>
        <v>0</v>
      </c>
      <c r="M112" s="1049">
        <f>IF(obp!M69="","",obp!M69)</f>
        <v>0</v>
      </c>
      <c r="N112" s="1051" t="str">
        <f t="shared" si="48"/>
        <v/>
      </c>
      <c r="O112" s="1051"/>
      <c r="P112" s="1125" t="str">
        <f t="shared" si="49"/>
        <v/>
      </c>
      <c r="Q112" s="472"/>
      <c r="R112" s="923" t="str">
        <f t="shared" si="60"/>
        <v/>
      </c>
      <c r="S112" s="923" t="str">
        <f t="shared" si="50"/>
        <v/>
      </c>
      <c r="T112" s="925" t="str">
        <f t="shared" si="51"/>
        <v/>
      </c>
      <c r="U112" s="545"/>
      <c r="V112" s="1103"/>
      <c r="W112" s="1103"/>
      <c r="X112" s="1060"/>
      <c r="Y112" s="1095" t="e">
        <f t="shared" si="52"/>
        <v>#VALUE!</v>
      </c>
      <c r="Z112" s="1094">
        <f>tab!B$50</f>
        <v>0.6</v>
      </c>
      <c r="AA112" s="1126" t="e">
        <f t="shared" si="53"/>
        <v>#VALUE!</v>
      </c>
      <c r="AB112" s="1126" t="e">
        <f t="shared" si="54"/>
        <v>#VALUE!</v>
      </c>
      <c r="AC112" s="1126" t="e">
        <f t="shared" si="55"/>
        <v>#VALUE!</v>
      </c>
      <c r="AD112" s="1128" t="e">
        <f t="shared" si="56"/>
        <v>#VALUE!</v>
      </c>
      <c r="AE112" s="1128">
        <f t="shared" si="57"/>
        <v>0</v>
      </c>
      <c r="AF112" s="1096">
        <f>IF(H112&gt;8,tab!$B$51,tab!$B$54)</f>
        <v>0.5</v>
      </c>
      <c r="AG112" s="1097">
        <f t="shared" si="58"/>
        <v>0</v>
      </c>
      <c r="AH112" s="1093">
        <f t="shared" si="59"/>
        <v>0</v>
      </c>
      <c r="AK112" s="176"/>
    </row>
    <row r="113" spans="3:37" ht="12.75" customHeight="1" x14ac:dyDescent="0.3">
      <c r="C113" s="114"/>
      <c r="D113" s="353" t="str">
        <f>IF(obp!D70="","",obp!D70)</f>
        <v/>
      </c>
      <c r="E113" s="388" t="str">
        <f>IF(obp!E70=0,"",obp!E70)</f>
        <v/>
      </c>
      <c r="F113" s="684" t="str">
        <f>IF(obp!F70="","",obp!F70+1)</f>
        <v/>
      </c>
      <c r="G113" s="710" t="str">
        <f>IF(obp!G70="","",obp!G70)</f>
        <v/>
      </c>
      <c r="H113" s="684" t="str">
        <f>IF(obp!H70=0,"",obp!H70)</f>
        <v/>
      </c>
      <c r="I113" s="389" t="str">
        <f>IF(J113="","",(IF(obp!I70+1&gt;LOOKUP(H113,schaal2019,regels2019),obp!I70,obp!I70+1)))</f>
        <v/>
      </c>
      <c r="J113" s="711" t="str">
        <f>IF(obp!J70="","",obp!J70)</f>
        <v/>
      </c>
      <c r="K113" s="370"/>
      <c r="L113" s="1049">
        <f>IF(obp!L70="","",obp!L70)</f>
        <v>0</v>
      </c>
      <c r="M113" s="1049">
        <f>IF(obp!M70="","",obp!M70)</f>
        <v>0</v>
      </c>
      <c r="N113" s="1051" t="str">
        <f t="shared" si="48"/>
        <v/>
      </c>
      <c r="O113" s="1051"/>
      <c r="P113" s="1125" t="str">
        <f t="shared" si="49"/>
        <v/>
      </c>
      <c r="Q113" s="472"/>
      <c r="R113" s="923" t="str">
        <f t="shared" si="60"/>
        <v/>
      </c>
      <c r="S113" s="923" t="str">
        <f t="shared" si="50"/>
        <v/>
      </c>
      <c r="T113" s="925" t="str">
        <f t="shared" si="51"/>
        <v/>
      </c>
      <c r="U113" s="545"/>
      <c r="V113" s="1103"/>
      <c r="W113" s="1103"/>
      <c r="X113" s="1060"/>
      <c r="Y113" s="1095" t="e">
        <f t="shared" si="52"/>
        <v>#VALUE!</v>
      </c>
      <c r="Z113" s="1094">
        <f>tab!B$50</f>
        <v>0.6</v>
      </c>
      <c r="AA113" s="1126" t="e">
        <f t="shared" si="53"/>
        <v>#VALUE!</v>
      </c>
      <c r="AB113" s="1126" t="e">
        <f t="shared" si="54"/>
        <v>#VALUE!</v>
      </c>
      <c r="AC113" s="1126" t="e">
        <f t="shared" si="55"/>
        <v>#VALUE!</v>
      </c>
      <c r="AD113" s="1128" t="e">
        <f t="shared" si="56"/>
        <v>#VALUE!</v>
      </c>
      <c r="AE113" s="1128">
        <f t="shared" si="57"/>
        <v>0</v>
      </c>
      <c r="AF113" s="1096">
        <f>IF(H113&gt;8,tab!$B$51,tab!$B$54)</f>
        <v>0.5</v>
      </c>
      <c r="AG113" s="1097">
        <f t="shared" si="58"/>
        <v>0</v>
      </c>
      <c r="AH113" s="1093">
        <f t="shared" si="59"/>
        <v>0</v>
      </c>
      <c r="AK113" s="176"/>
    </row>
    <row r="114" spans="3:37" ht="12.75" customHeight="1" x14ac:dyDescent="0.3">
      <c r="C114" s="114"/>
      <c r="D114" s="353" t="str">
        <f>IF(obp!D71="","",obp!D71)</f>
        <v/>
      </c>
      <c r="E114" s="388" t="str">
        <f>IF(obp!E71=0,"",obp!E71)</f>
        <v/>
      </c>
      <c r="F114" s="684" t="str">
        <f>IF(obp!F71="","",obp!F71+1)</f>
        <v/>
      </c>
      <c r="G114" s="710" t="str">
        <f>IF(obp!G71="","",obp!G71)</f>
        <v/>
      </c>
      <c r="H114" s="684" t="str">
        <f>IF(obp!H71=0,"",obp!H71)</f>
        <v/>
      </c>
      <c r="I114" s="389" t="str">
        <f>IF(J114="","",(IF(obp!I71+1&gt;LOOKUP(H114,schaal2019,regels2019),obp!I71,obp!I71+1)))</f>
        <v/>
      </c>
      <c r="J114" s="711" t="str">
        <f>IF(obp!J71="","",obp!J71)</f>
        <v/>
      </c>
      <c r="K114" s="370"/>
      <c r="L114" s="1049">
        <f>IF(obp!L71="","",obp!L71)</f>
        <v>0</v>
      </c>
      <c r="M114" s="1049">
        <f>IF(obp!M71="","",obp!M71)</f>
        <v>0</v>
      </c>
      <c r="N114" s="1051" t="str">
        <f t="shared" si="48"/>
        <v/>
      </c>
      <c r="O114" s="1051"/>
      <c r="P114" s="1125" t="str">
        <f t="shared" si="49"/>
        <v/>
      </c>
      <c r="Q114" s="472"/>
      <c r="R114" s="923" t="str">
        <f t="shared" si="60"/>
        <v/>
      </c>
      <c r="S114" s="923" t="str">
        <f t="shared" si="50"/>
        <v/>
      </c>
      <c r="T114" s="925" t="str">
        <f t="shared" si="51"/>
        <v/>
      </c>
      <c r="U114" s="545"/>
      <c r="V114" s="1103"/>
      <c r="W114" s="1103"/>
      <c r="X114" s="1060"/>
      <c r="Y114" s="1095" t="e">
        <f t="shared" si="52"/>
        <v>#VALUE!</v>
      </c>
      <c r="Z114" s="1094">
        <f>tab!B$50</f>
        <v>0.6</v>
      </c>
      <c r="AA114" s="1126" t="e">
        <f t="shared" si="53"/>
        <v>#VALUE!</v>
      </c>
      <c r="AB114" s="1126" t="e">
        <f t="shared" si="54"/>
        <v>#VALUE!</v>
      </c>
      <c r="AC114" s="1126" t="e">
        <f t="shared" si="55"/>
        <v>#VALUE!</v>
      </c>
      <c r="AD114" s="1128" t="e">
        <f t="shared" si="56"/>
        <v>#VALUE!</v>
      </c>
      <c r="AE114" s="1128">
        <f t="shared" si="57"/>
        <v>0</v>
      </c>
      <c r="AF114" s="1096">
        <f>IF(H114&gt;8,tab!$B$51,tab!$B$54)</f>
        <v>0.5</v>
      </c>
      <c r="AG114" s="1097">
        <f t="shared" si="58"/>
        <v>0</v>
      </c>
      <c r="AH114" s="1093">
        <f t="shared" si="59"/>
        <v>0</v>
      </c>
      <c r="AK114" s="176"/>
    </row>
    <row r="115" spans="3:37" ht="12.75" customHeight="1" x14ac:dyDescent="0.3">
      <c r="C115" s="114"/>
      <c r="D115" s="353" t="str">
        <f>IF(obp!D72="","",obp!D72)</f>
        <v/>
      </c>
      <c r="E115" s="388" t="str">
        <f>IF(obp!E72=0,"",obp!E72)</f>
        <v/>
      </c>
      <c r="F115" s="684" t="str">
        <f>IF(obp!F72="","",obp!F72+1)</f>
        <v/>
      </c>
      <c r="G115" s="710" t="str">
        <f>IF(obp!G72="","",obp!G72)</f>
        <v/>
      </c>
      <c r="H115" s="684" t="str">
        <f>IF(obp!H72=0,"",obp!H72)</f>
        <v/>
      </c>
      <c r="I115" s="389" t="str">
        <f>IF(J115="","",(IF(obp!I72+1&gt;LOOKUP(H115,schaal2019,regels2019),obp!I72,obp!I72+1)))</f>
        <v/>
      </c>
      <c r="J115" s="711" t="str">
        <f>IF(obp!J72="","",obp!J72)</f>
        <v/>
      </c>
      <c r="K115" s="370"/>
      <c r="L115" s="1049">
        <f>IF(obp!L72="","",obp!L72)</f>
        <v>0</v>
      </c>
      <c r="M115" s="1049">
        <f>IF(obp!M72="","",obp!M72)</f>
        <v>0</v>
      </c>
      <c r="N115" s="1051" t="str">
        <f t="shared" si="48"/>
        <v/>
      </c>
      <c r="O115" s="1051"/>
      <c r="P115" s="1125" t="str">
        <f t="shared" si="49"/>
        <v/>
      </c>
      <c r="Q115" s="472"/>
      <c r="R115" s="923" t="str">
        <f t="shared" si="60"/>
        <v/>
      </c>
      <c r="S115" s="923" t="str">
        <f t="shared" si="50"/>
        <v/>
      </c>
      <c r="T115" s="925" t="str">
        <f t="shared" si="51"/>
        <v/>
      </c>
      <c r="U115" s="545"/>
      <c r="V115" s="1103"/>
      <c r="W115" s="1103"/>
      <c r="X115" s="1060"/>
      <c r="Y115" s="1095" t="e">
        <f t="shared" si="52"/>
        <v>#VALUE!</v>
      </c>
      <c r="Z115" s="1094">
        <f>tab!B$50</f>
        <v>0.6</v>
      </c>
      <c r="AA115" s="1126" t="e">
        <f t="shared" si="53"/>
        <v>#VALUE!</v>
      </c>
      <c r="AB115" s="1126" t="e">
        <f t="shared" si="54"/>
        <v>#VALUE!</v>
      </c>
      <c r="AC115" s="1126" t="e">
        <f t="shared" si="55"/>
        <v>#VALUE!</v>
      </c>
      <c r="AD115" s="1128" t="e">
        <f t="shared" si="56"/>
        <v>#VALUE!</v>
      </c>
      <c r="AE115" s="1128">
        <f t="shared" si="57"/>
        <v>0</v>
      </c>
      <c r="AF115" s="1096">
        <f>IF(H115&gt;8,tab!$B$51,tab!$B$54)</f>
        <v>0.5</v>
      </c>
      <c r="AG115" s="1097">
        <f t="shared" si="58"/>
        <v>0</v>
      </c>
      <c r="AH115" s="1093">
        <f t="shared" si="59"/>
        <v>0</v>
      </c>
      <c r="AK115" s="176"/>
    </row>
    <row r="116" spans="3:37" ht="12.75" customHeight="1" x14ac:dyDescent="0.3">
      <c r="C116" s="114"/>
      <c r="D116" s="353" t="str">
        <f>IF(obp!D73="","",obp!D73)</f>
        <v/>
      </c>
      <c r="E116" s="388" t="str">
        <f>IF(obp!E73=0,"",obp!E73)</f>
        <v/>
      </c>
      <c r="F116" s="684" t="str">
        <f>IF(obp!F73="","",obp!F73+1)</f>
        <v/>
      </c>
      <c r="G116" s="710" t="str">
        <f>IF(obp!G73="","",obp!G73)</f>
        <v/>
      </c>
      <c r="H116" s="684" t="str">
        <f>IF(obp!H73=0,"",obp!H73)</f>
        <v/>
      </c>
      <c r="I116" s="389" t="str">
        <f>IF(J116="","",(IF(obp!I73+1&gt;LOOKUP(H116,schaal2019,regels2019),obp!I73,obp!I73+1)))</f>
        <v/>
      </c>
      <c r="J116" s="711" t="str">
        <f>IF(obp!J73="","",obp!J73)</f>
        <v/>
      </c>
      <c r="K116" s="370"/>
      <c r="L116" s="1049">
        <f>IF(obp!L73="","",obp!L73)</f>
        <v>0</v>
      </c>
      <c r="M116" s="1049">
        <f>IF(obp!M73="","",obp!M73)</f>
        <v>0</v>
      </c>
      <c r="N116" s="1051" t="str">
        <f t="shared" si="48"/>
        <v/>
      </c>
      <c r="O116" s="1051"/>
      <c r="P116" s="1125" t="str">
        <f t="shared" si="49"/>
        <v/>
      </c>
      <c r="Q116" s="472"/>
      <c r="R116" s="923" t="str">
        <f t="shared" si="60"/>
        <v/>
      </c>
      <c r="S116" s="923" t="str">
        <f t="shared" si="50"/>
        <v/>
      </c>
      <c r="T116" s="925" t="str">
        <f t="shared" si="51"/>
        <v/>
      </c>
      <c r="U116" s="545"/>
      <c r="V116" s="1103"/>
      <c r="W116" s="1103"/>
      <c r="X116" s="1060"/>
      <c r="Y116" s="1095" t="e">
        <f t="shared" si="52"/>
        <v>#VALUE!</v>
      </c>
      <c r="Z116" s="1094">
        <f>tab!B$50</f>
        <v>0.6</v>
      </c>
      <c r="AA116" s="1126" t="e">
        <f t="shared" si="53"/>
        <v>#VALUE!</v>
      </c>
      <c r="AB116" s="1126" t="e">
        <f t="shared" si="54"/>
        <v>#VALUE!</v>
      </c>
      <c r="AC116" s="1126" t="e">
        <f t="shared" si="55"/>
        <v>#VALUE!</v>
      </c>
      <c r="AD116" s="1128" t="e">
        <f t="shared" si="56"/>
        <v>#VALUE!</v>
      </c>
      <c r="AE116" s="1128">
        <f t="shared" si="57"/>
        <v>0</v>
      </c>
      <c r="AF116" s="1096">
        <f>IF(H116&gt;8,tab!$B$51,tab!$B$54)</f>
        <v>0.5</v>
      </c>
      <c r="AG116" s="1097">
        <f t="shared" si="58"/>
        <v>0</v>
      </c>
      <c r="AH116" s="1093">
        <f t="shared" si="59"/>
        <v>0</v>
      </c>
      <c r="AK116" s="176"/>
    </row>
    <row r="117" spans="3:37" ht="12.75" customHeight="1" x14ac:dyDescent="0.3">
      <c r="C117" s="114"/>
      <c r="D117" s="353" t="str">
        <f>IF(obp!D74="","",obp!D74)</f>
        <v/>
      </c>
      <c r="E117" s="388" t="str">
        <f>IF(obp!E74=0,"",obp!E74)</f>
        <v/>
      </c>
      <c r="F117" s="684" t="str">
        <f>IF(obp!F74="","",obp!F74+1)</f>
        <v/>
      </c>
      <c r="G117" s="710" t="str">
        <f>IF(obp!G74="","",obp!G74)</f>
        <v/>
      </c>
      <c r="H117" s="684" t="str">
        <f>IF(obp!H74=0,"",obp!H74)</f>
        <v/>
      </c>
      <c r="I117" s="389" t="str">
        <f>IF(J117="","",(IF(obp!I74+1&gt;LOOKUP(H117,schaal2019,regels2019),obp!I74,obp!I74+1)))</f>
        <v/>
      </c>
      <c r="J117" s="711" t="str">
        <f>IF(obp!J74="","",obp!J74)</f>
        <v/>
      </c>
      <c r="K117" s="370"/>
      <c r="L117" s="1049">
        <f>IF(obp!L74="","",obp!L74)</f>
        <v>0</v>
      </c>
      <c r="M117" s="1049">
        <f>IF(obp!M74="","",obp!M74)</f>
        <v>0</v>
      </c>
      <c r="N117" s="1051" t="str">
        <f t="shared" si="48"/>
        <v/>
      </c>
      <c r="O117" s="1051"/>
      <c r="P117" s="1125" t="str">
        <f t="shared" si="49"/>
        <v/>
      </c>
      <c r="Q117" s="472"/>
      <c r="R117" s="923" t="str">
        <f t="shared" si="60"/>
        <v/>
      </c>
      <c r="S117" s="923" t="str">
        <f t="shared" si="50"/>
        <v/>
      </c>
      <c r="T117" s="925" t="str">
        <f t="shared" si="51"/>
        <v/>
      </c>
      <c r="U117" s="545"/>
      <c r="V117" s="1103"/>
      <c r="W117" s="1103"/>
      <c r="X117" s="1060"/>
      <c r="Y117" s="1095" t="e">
        <f t="shared" si="52"/>
        <v>#VALUE!</v>
      </c>
      <c r="Z117" s="1094">
        <f>tab!B$50</f>
        <v>0.6</v>
      </c>
      <c r="AA117" s="1126" t="e">
        <f t="shared" si="53"/>
        <v>#VALUE!</v>
      </c>
      <c r="AB117" s="1126" t="e">
        <f t="shared" si="54"/>
        <v>#VALUE!</v>
      </c>
      <c r="AC117" s="1126" t="e">
        <f t="shared" si="55"/>
        <v>#VALUE!</v>
      </c>
      <c r="AD117" s="1128" t="e">
        <f t="shared" si="56"/>
        <v>#VALUE!</v>
      </c>
      <c r="AE117" s="1128">
        <f t="shared" si="57"/>
        <v>0</v>
      </c>
      <c r="AF117" s="1096">
        <f>IF(H117&gt;8,tab!$B$51,tab!$B$54)</f>
        <v>0.5</v>
      </c>
      <c r="AG117" s="1097">
        <f t="shared" si="58"/>
        <v>0</v>
      </c>
      <c r="AH117" s="1093">
        <f t="shared" si="59"/>
        <v>0</v>
      </c>
      <c r="AK117" s="176"/>
    </row>
    <row r="118" spans="3:37" ht="12.75" customHeight="1" x14ac:dyDescent="0.3">
      <c r="C118" s="114"/>
      <c r="D118" s="353" t="str">
        <f>IF(obp!D75="","",obp!D75)</f>
        <v/>
      </c>
      <c r="E118" s="388" t="str">
        <f>IF(obp!E75=0,"",obp!E75)</f>
        <v/>
      </c>
      <c r="F118" s="684" t="str">
        <f>IF(obp!F75="","",obp!F75+1)</f>
        <v/>
      </c>
      <c r="G118" s="710" t="str">
        <f>IF(obp!G75="","",obp!G75)</f>
        <v/>
      </c>
      <c r="H118" s="684" t="str">
        <f>IF(obp!H75=0,"",obp!H75)</f>
        <v/>
      </c>
      <c r="I118" s="389" t="str">
        <f>IF(J118="","",(IF(obp!I75+1&gt;LOOKUP(H118,schaal2019,regels2019),obp!I75,obp!I75+1)))</f>
        <v/>
      </c>
      <c r="J118" s="711" t="str">
        <f>IF(obp!J75="","",obp!J75)</f>
        <v/>
      </c>
      <c r="K118" s="370"/>
      <c r="L118" s="1049">
        <f>IF(obp!L75="","",obp!L75)</f>
        <v>0</v>
      </c>
      <c r="M118" s="1049">
        <f>IF(obp!M75="","",obp!M75)</f>
        <v>0</v>
      </c>
      <c r="N118" s="1051" t="str">
        <f t="shared" si="48"/>
        <v/>
      </c>
      <c r="O118" s="1051"/>
      <c r="P118" s="1125" t="str">
        <f t="shared" si="49"/>
        <v/>
      </c>
      <c r="Q118" s="472"/>
      <c r="R118" s="923" t="str">
        <f t="shared" si="60"/>
        <v/>
      </c>
      <c r="S118" s="923" t="str">
        <f t="shared" si="50"/>
        <v/>
      </c>
      <c r="T118" s="925" t="str">
        <f t="shared" si="51"/>
        <v/>
      </c>
      <c r="U118" s="545"/>
      <c r="V118" s="1103"/>
      <c r="W118" s="1103"/>
      <c r="X118" s="1060"/>
      <c r="Y118" s="1095" t="e">
        <f t="shared" si="52"/>
        <v>#VALUE!</v>
      </c>
      <c r="Z118" s="1094">
        <f>tab!B$50</f>
        <v>0.6</v>
      </c>
      <c r="AA118" s="1126" t="e">
        <f t="shared" si="53"/>
        <v>#VALUE!</v>
      </c>
      <c r="AB118" s="1126" t="e">
        <f t="shared" si="54"/>
        <v>#VALUE!</v>
      </c>
      <c r="AC118" s="1126" t="e">
        <f t="shared" si="55"/>
        <v>#VALUE!</v>
      </c>
      <c r="AD118" s="1128" t="e">
        <f t="shared" si="56"/>
        <v>#VALUE!</v>
      </c>
      <c r="AE118" s="1128">
        <f t="shared" si="57"/>
        <v>0</v>
      </c>
      <c r="AF118" s="1096">
        <f>IF(H118&gt;8,tab!$B$51,tab!$B$54)</f>
        <v>0.5</v>
      </c>
      <c r="AG118" s="1097">
        <f t="shared" si="58"/>
        <v>0</v>
      </c>
      <c r="AH118" s="1093">
        <f t="shared" si="59"/>
        <v>0</v>
      </c>
      <c r="AK118" s="176"/>
    </row>
    <row r="119" spans="3:37" ht="12.75" customHeight="1" x14ac:dyDescent="0.3">
      <c r="C119" s="114"/>
      <c r="D119" s="353" t="str">
        <f>IF(obp!D76="","",obp!D76)</f>
        <v/>
      </c>
      <c r="E119" s="388" t="str">
        <f>IF(obp!E76=0,"",obp!E76)</f>
        <v/>
      </c>
      <c r="F119" s="684" t="str">
        <f>IF(obp!F76="","",obp!F76+1)</f>
        <v/>
      </c>
      <c r="G119" s="710" t="str">
        <f>IF(obp!G76="","",obp!G76)</f>
        <v/>
      </c>
      <c r="H119" s="684" t="str">
        <f>IF(obp!H76=0,"",obp!H76)</f>
        <v/>
      </c>
      <c r="I119" s="389" t="str">
        <f>IF(J119="","",(IF(obp!I76+1&gt;LOOKUP(H119,schaal2019,regels2019),obp!I76,obp!I76+1)))</f>
        <v/>
      </c>
      <c r="J119" s="711" t="str">
        <f>IF(obp!J76="","",obp!J76)</f>
        <v/>
      </c>
      <c r="K119" s="370"/>
      <c r="L119" s="1049">
        <f>IF(obp!L76="","",obp!L76)</f>
        <v>0</v>
      </c>
      <c r="M119" s="1049">
        <f>IF(obp!M76="","",obp!M76)</f>
        <v>0</v>
      </c>
      <c r="N119" s="1051" t="str">
        <f t="shared" si="48"/>
        <v/>
      </c>
      <c r="O119" s="1051"/>
      <c r="P119" s="1125" t="str">
        <f t="shared" si="49"/>
        <v/>
      </c>
      <c r="Q119" s="472"/>
      <c r="R119" s="923" t="str">
        <f t="shared" si="60"/>
        <v/>
      </c>
      <c r="S119" s="923" t="str">
        <f t="shared" si="50"/>
        <v/>
      </c>
      <c r="T119" s="925" t="str">
        <f t="shared" si="51"/>
        <v/>
      </c>
      <c r="U119" s="545"/>
      <c r="V119" s="1103"/>
      <c r="W119" s="1103"/>
      <c r="X119" s="1060"/>
      <c r="Y119" s="1095" t="e">
        <f t="shared" si="52"/>
        <v>#VALUE!</v>
      </c>
      <c r="Z119" s="1094">
        <f>tab!B$50</f>
        <v>0.6</v>
      </c>
      <c r="AA119" s="1126" t="e">
        <f t="shared" si="53"/>
        <v>#VALUE!</v>
      </c>
      <c r="AB119" s="1126" t="e">
        <f t="shared" si="54"/>
        <v>#VALUE!</v>
      </c>
      <c r="AC119" s="1126" t="e">
        <f t="shared" si="55"/>
        <v>#VALUE!</v>
      </c>
      <c r="AD119" s="1128" t="e">
        <f t="shared" si="56"/>
        <v>#VALUE!</v>
      </c>
      <c r="AE119" s="1128">
        <f t="shared" si="57"/>
        <v>0</v>
      </c>
      <c r="AF119" s="1096">
        <f>IF(H119&gt;8,tab!$B$51,tab!$B$54)</f>
        <v>0.5</v>
      </c>
      <c r="AG119" s="1097">
        <f t="shared" si="58"/>
        <v>0</v>
      </c>
      <c r="AH119" s="1093">
        <f t="shared" si="59"/>
        <v>0</v>
      </c>
      <c r="AK119" s="176"/>
    </row>
    <row r="120" spans="3:37" ht="12.75" customHeight="1" x14ac:dyDescent="0.3">
      <c r="C120" s="114"/>
      <c r="D120" s="353" t="str">
        <f>IF(obp!D77="","",obp!D77)</f>
        <v/>
      </c>
      <c r="E120" s="388" t="str">
        <f>IF(obp!E77=0,"",obp!E77)</f>
        <v/>
      </c>
      <c r="F120" s="105" t="str">
        <f>IF(obp!F77="","",obp!F77+1)</f>
        <v/>
      </c>
      <c r="G120" s="354" t="str">
        <f>IF(obp!G77="","",obp!G77)</f>
        <v/>
      </c>
      <c r="H120" s="684" t="str">
        <f>IF(obp!H77=0,"",obp!H77)</f>
        <v/>
      </c>
      <c r="I120" s="389" t="str">
        <f>IF(J120="","",(IF(obp!I77+1&gt;LOOKUP(H120,schaal2019,regels2019),obp!I77,obp!I77+1)))</f>
        <v/>
      </c>
      <c r="J120" s="356" t="str">
        <f>IF(obp!J77="","",obp!J77)</f>
        <v/>
      </c>
      <c r="K120" s="370"/>
      <c r="L120" s="1049">
        <f>IF(obp!L77="","",obp!L77)</f>
        <v>0</v>
      </c>
      <c r="M120" s="1049">
        <f>IF(obp!M77="","",obp!M77)</f>
        <v>0</v>
      </c>
      <c r="N120" s="1051" t="str">
        <f t="shared" si="48"/>
        <v/>
      </c>
      <c r="O120" s="1051"/>
      <c r="P120" s="1125" t="str">
        <f t="shared" si="49"/>
        <v/>
      </c>
      <c r="Q120" s="472"/>
      <c r="R120" s="923" t="str">
        <f t="shared" si="60"/>
        <v/>
      </c>
      <c r="S120" s="923" t="str">
        <f t="shared" si="50"/>
        <v/>
      </c>
      <c r="T120" s="925" t="str">
        <f t="shared" si="51"/>
        <v/>
      </c>
      <c r="U120" s="545"/>
      <c r="V120" s="1103"/>
      <c r="W120" s="1103"/>
      <c r="X120" s="1060"/>
      <c r="Y120" s="1095" t="e">
        <f t="shared" si="52"/>
        <v>#VALUE!</v>
      </c>
      <c r="Z120" s="1094">
        <f>tab!B$50</f>
        <v>0.6</v>
      </c>
      <c r="AA120" s="1126" t="e">
        <f t="shared" si="53"/>
        <v>#VALUE!</v>
      </c>
      <c r="AB120" s="1126" t="e">
        <f t="shared" si="54"/>
        <v>#VALUE!</v>
      </c>
      <c r="AC120" s="1126" t="e">
        <f t="shared" si="55"/>
        <v>#VALUE!</v>
      </c>
      <c r="AD120" s="1128" t="e">
        <f t="shared" si="56"/>
        <v>#VALUE!</v>
      </c>
      <c r="AE120" s="1128">
        <f t="shared" si="57"/>
        <v>0</v>
      </c>
      <c r="AF120" s="1096">
        <f>IF(H120&gt;8,tab!$B$51,tab!$B$54)</f>
        <v>0.5</v>
      </c>
      <c r="AG120" s="1097">
        <f t="shared" si="58"/>
        <v>0</v>
      </c>
      <c r="AH120" s="1093">
        <f t="shared" si="59"/>
        <v>0</v>
      </c>
      <c r="AK120" s="176"/>
    </row>
    <row r="121" spans="3:37" ht="12.75" customHeight="1" x14ac:dyDescent="0.3">
      <c r="C121" s="114"/>
      <c r="D121" s="353" t="str">
        <f>IF(obp!D78="","",obp!D78)</f>
        <v/>
      </c>
      <c r="E121" s="388" t="str">
        <f>IF(obp!E78=0,"",obp!E78)</f>
        <v/>
      </c>
      <c r="F121" s="105" t="str">
        <f>IF(obp!F78="","",obp!F78+1)</f>
        <v/>
      </c>
      <c r="G121" s="354" t="str">
        <f>IF(obp!G78="","",obp!G78)</f>
        <v/>
      </c>
      <c r="H121" s="684" t="str">
        <f>IF(obp!H78=0,"",obp!H78)</f>
        <v/>
      </c>
      <c r="I121" s="389" t="str">
        <f>IF(J121="","",(IF(obp!I78+1&gt;LOOKUP(H121,schaal2019,regels2019),obp!I78,obp!I78+1)))</f>
        <v/>
      </c>
      <c r="J121" s="356" t="str">
        <f>IF(obp!J78="","",obp!J78)</f>
        <v/>
      </c>
      <c r="K121" s="370"/>
      <c r="L121" s="1049">
        <f>IF(obp!L78="","",obp!L78)</f>
        <v>0</v>
      </c>
      <c r="M121" s="1049">
        <f>IF(obp!M78="","",obp!M78)</f>
        <v>0</v>
      </c>
      <c r="N121" s="1051" t="str">
        <f t="shared" si="48"/>
        <v/>
      </c>
      <c r="O121" s="1051"/>
      <c r="P121" s="1125" t="str">
        <f t="shared" si="49"/>
        <v/>
      </c>
      <c r="Q121" s="472"/>
      <c r="R121" s="923" t="str">
        <f t="shared" si="60"/>
        <v/>
      </c>
      <c r="S121" s="923" t="str">
        <f t="shared" si="50"/>
        <v/>
      </c>
      <c r="T121" s="925" t="str">
        <f t="shared" si="51"/>
        <v/>
      </c>
      <c r="U121" s="545"/>
      <c r="V121" s="1103"/>
      <c r="W121" s="1103"/>
      <c r="X121" s="1060"/>
      <c r="Y121" s="1095" t="e">
        <f t="shared" si="52"/>
        <v>#VALUE!</v>
      </c>
      <c r="Z121" s="1094">
        <f>tab!B$50</f>
        <v>0.6</v>
      </c>
      <c r="AA121" s="1126" t="e">
        <f t="shared" si="53"/>
        <v>#VALUE!</v>
      </c>
      <c r="AB121" s="1126" t="e">
        <f t="shared" si="54"/>
        <v>#VALUE!</v>
      </c>
      <c r="AC121" s="1126" t="e">
        <f t="shared" si="55"/>
        <v>#VALUE!</v>
      </c>
      <c r="AD121" s="1128" t="e">
        <f t="shared" si="56"/>
        <v>#VALUE!</v>
      </c>
      <c r="AE121" s="1128">
        <f t="shared" si="57"/>
        <v>0</v>
      </c>
      <c r="AF121" s="1096">
        <f>IF(H121&gt;8,tab!$B$51,tab!$B$54)</f>
        <v>0.5</v>
      </c>
      <c r="AG121" s="1097">
        <f t="shared" si="58"/>
        <v>0</v>
      </c>
      <c r="AH121" s="1093">
        <f t="shared" si="59"/>
        <v>0</v>
      </c>
      <c r="AK121" s="176"/>
    </row>
    <row r="122" spans="3:37" ht="12.75" customHeight="1" x14ac:dyDescent="0.3">
      <c r="C122" s="114"/>
      <c r="D122" s="353" t="str">
        <f>IF(obp!D79="","",obp!D79)</f>
        <v/>
      </c>
      <c r="E122" s="388" t="str">
        <f>IF(obp!E79=0,"",obp!E79)</f>
        <v/>
      </c>
      <c r="F122" s="105" t="str">
        <f>IF(obp!F79="","",obp!F79+1)</f>
        <v/>
      </c>
      <c r="G122" s="354" t="str">
        <f>IF(obp!G79="","",obp!G79)</f>
        <v/>
      </c>
      <c r="H122" s="684" t="str">
        <f>IF(obp!H79=0,"",obp!H79)</f>
        <v/>
      </c>
      <c r="I122" s="389" t="str">
        <f>IF(J122="","",(IF(obp!I79+1&gt;LOOKUP(H122,schaal2019,regels2019),obp!I79,obp!I79+1)))</f>
        <v/>
      </c>
      <c r="J122" s="356" t="str">
        <f>IF(obp!J79="","",obp!J79)</f>
        <v/>
      </c>
      <c r="K122" s="370"/>
      <c r="L122" s="1049">
        <f>IF(obp!L79="","",obp!L79)</f>
        <v>0</v>
      </c>
      <c r="M122" s="1049">
        <f>IF(obp!M79="","",obp!M79)</f>
        <v>0</v>
      </c>
      <c r="N122" s="1051" t="str">
        <f t="shared" si="48"/>
        <v/>
      </c>
      <c r="O122" s="1051"/>
      <c r="P122" s="1125" t="str">
        <f t="shared" si="49"/>
        <v/>
      </c>
      <c r="Q122" s="472"/>
      <c r="R122" s="923" t="str">
        <f t="shared" si="60"/>
        <v/>
      </c>
      <c r="S122" s="923" t="str">
        <f t="shared" si="50"/>
        <v/>
      </c>
      <c r="T122" s="925" t="str">
        <f t="shared" si="51"/>
        <v/>
      </c>
      <c r="U122" s="545"/>
      <c r="V122" s="1103"/>
      <c r="W122" s="1103"/>
      <c r="X122" s="1060"/>
      <c r="Y122" s="1095" t="e">
        <f t="shared" si="52"/>
        <v>#VALUE!</v>
      </c>
      <c r="Z122" s="1094">
        <f>tab!B$50</f>
        <v>0.6</v>
      </c>
      <c r="AA122" s="1126" t="e">
        <f t="shared" si="53"/>
        <v>#VALUE!</v>
      </c>
      <c r="AB122" s="1126" t="e">
        <f t="shared" si="54"/>
        <v>#VALUE!</v>
      </c>
      <c r="AC122" s="1126" t="e">
        <f t="shared" si="55"/>
        <v>#VALUE!</v>
      </c>
      <c r="AD122" s="1128" t="e">
        <f t="shared" si="56"/>
        <v>#VALUE!</v>
      </c>
      <c r="AE122" s="1128">
        <f t="shared" si="57"/>
        <v>0</v>
      </c>
      <c r="AF122" s="1096">
        <f>IF(H122&gt;8,tab!$B$51,tab!$B$54)</f>
        <v>0.5</v>
      </c>
      <c r="AG122" s="1097">
        <f t="shared" si="58"/>
        <v>0</v>
      </c>
      <c r="AH122" s="1093">
        <f t="shared" si="59"/>
        <v>0</v>
      </c>
      <c r="AK122" s="176"/>
    </row>
    <row r="123" spans="3:37" ht="12.75" customHeight="1" x14ac:dyDescent="0.3">
      <c r="C123" s="114"/>
      <c r="D123" s="353" t="str">
        <f>IF(obp!D80="","",obp!D80)</f>
        <v/>
      </c>
      <c r="E123" s="388" t="str">
        <f>IF(obp!E80=0,"",obp!E80)</f>
        <v/>
      </c>
      <c r="F123" s="105" t="str">
        <f>IF(obp!F80="","",obp!F80+1)</f>
        <v/>
      </c>
      <c r="G123" s="354" t="str">
        <f>IF(obp!G80="","",obp!G80)</f>
        <v/>
      </c>
      <c r="H123" s="684" t="str">
        <f>IF(obp!H80=0,"",obp!H80)</f>
        <v/>
      </c>
      <c r="I123" s="389" t="str">
        <f>IF(J123="","",(IF(obp!I80+1&gt;LOOKUP(H123,schaal2019,regels2019),obp!I80,obp!I80+1)))</f>
        <v/>
      </c>
      <c r="J123" s="356" t="str">
        <f>IF(obp!J80="","",obp!J80)</f>
        <v/>
      </c>
      <c r="K123" s="370"/>
      <c r="L123" s="1049">
        <f>IF(obp!L80="","",obp!L80)</f>
        <v>0</v>
      </c>
      <c r="M123" s="1049">
        <f>IF(obp!M80="","",obp!M80)</f>
        <v>0</v>
      </c>
      <c r="N123" s="1051" t="str">
        <f t="shared" si="48"/>
        <v/>
      </c>
      <c r="O123" s="1051"/>
      <c r="P123" s="1125" t="str">
        <f t="shared" si="49"/>
        <v/>
      </c>
      <c r="Q123" s="472"/>
      <c r="R123" s="923" t="str">
        <f t="shared" si="60"/>
        <v/>
      </c>
      <c r="S123" s="923" t="str">
        <f t="shared" si="50"/>
        <v/>
      </c>
      <c r="T123" s="925" t="str">
        <f t="shared" si="51"/>
        <v/>
      </c>
      <c r="U123" s="545"/>
      <c r="V123" s="1103"/>
      <c r="W123" s="1103"/>
      <c r="X123" s="1060"/>
      <c r="Y123" s="1095" t="e">
        <f t="shared" si="52"/>
        <v>#VALUE!</v>
      </c>
      <c r="Z123" s="1094">
        <f>tab!B$50</f>
        <v>0.6</v>
      </c>
      <c r="AA123" s="1126" t="e">
        <f t="shared" si="53"/>
        <v>#VALUE!</v>
      </c>
      <c r="AB123" s="1126" t="e">
        <f t="shared" si="54"/>
        <v>#VALUE!</v>
      </c>
      <c r="AC123" s="1126" t="e">
        <f t="shared" si="55"/>
        <v>#VALUE!</v>
      </c>
      <c r="AD123" s="1128" t="e">
        <f t="shared" si="56"/>
        <v>#VALUE!</v>
      </c>
      <c r="AE123" s="1128">
        <f t="shared" si="57"/>
        <v>0</v>
      </c>
      <c r="AF123" s="1096">
        <f>IF(H123&gt;8,tab!$B$51,tab!$B$54)</f>
        <v>0.5</v>
      </c>
      <c r="AG123" s="1097">
        <f t="shared" si="58"/>
        <v>0</v>
      </c>
      <c r="AH123" s="1093">
        <f t="shared" si="59"/>
        <v>0</v>
      </c>
      <c r="AK123" s="176"/>
    </row>
    <row r="124" spans="3:37" ht="12.75" customHeight="1" x14ac:dyDescent="0.3">
      <c r="C124" s="114"/>
      <c r="D124" s="353" t="str">
        <f>IF(obp!D81="","",obp!D81)</f>
        <v/>
      </c>
      <c r="E124" s="388" t="str">
        <f>IF(obp!E81=0,"",obp!E81)</f>
        <v/>
      </c>
      <c r="F124" s="105" t="str">
        <f>IF(obp!F81="","",obp!F81+1)</f>
        <v/>
      </c>
      <c r="G124" s="354" t="str">
        <f>IF(obp!G81="","",obp!G81)</f>
        <v/>
      </c>
      <c r="H124" s="684" t="str">
        <f>IF(obp!H81=0,"",obp!H81)</f>
        <v/>
      </c>
      <c r="I124" s="389" t="str">
        <f>IF(J124="","",(IF(obp!I81+1&gt;LOOKUP(H124,schaal2019,regels2019),obp!I81,obp!I81+1)))</f>
        <v/>
      </c>
      <c r="J124" s="356" t="str">
        <f>IF(obp!J81="","",obp!J81)</f>
        <v/>
      </c>
      <c r="K124" s="370"/>
      <c r="L124" s="1049">
        <f>IF(obp!L81="","",obp!L81)</f>
        <v>0</v>
      </c>
      <c r="M124" s="1049">
        <f>IF(obp!M81="","",obp!M81)</f>
        <v>0</v>
      </c>
      <c r="N124" s="1051" t="str">
        <f t="shared" si="48"/>
        <v/>
      </c>
      <c r="O124" s="1051"/>
      <c r="P124" s="1125" t="str">
        <f t="shared" si="49"/>
        <v/>
      </c>
      <c r="Q124" s="472"/>
      <c r="R124" s="923" t="str">
        <f t="shared" si="60"/>
        <v/>
      </c>
      <c r="S124" s="923" t="str">
        <f t="shared" si="50"/>
        <v/>
      </c>
      <c r="T124" s="925" t="str">
        <f t="shared" si="51"/>
        <v/>
      </c>
      <c r="U124" s="545"/>
      <c r="V124" s="1103"/>
      <c r="W124" s="1103"/>
      <c r="X124" s="1060"/>
      <c r="Y124" s="1095" t="e">
        <f t="shared" si="52"/>
        <v>#VALUE!</v>
      </c>
      <c r="Z124" s="1094">
        <f>tab!B$50</f>
        <v>0.6</v>
      </c>
      <c r="AA124" s="1126" t="e">
        <f t="shared" si="53"/>
        <v>#VALUE!</v>
      </c>
      <c r="AB124" s="1126" t="e">
        <f t="shared" si="54"/>
        <v>#VALUE!</v>
      </c>
      <c r="AC124" s="1126" t="e">
        <f t="shared" si="55"/>
        <v>#VALUE!</v>
      </c>
      <c r="AD124" s="1128" t="e">
        <f t="shared" si="56"/>
        <v>#VALUE!</v>
      </c>
      <c r="AE124" s="1128">
        <f t="shared" si="57"/>
        <v>0</v>
      </c>
      <c r="AF124" s="1096">
        <f>IF(H124&gt;8,tab!$B$51,tab!$B$54)</f>
        <v>0.5</v>
      </c>
      <c r="AG124" s="1097">
        <f t="shared" si="58"/>
        <v>0</v>
      </c>
      <c r="AH124" s="1093">
        <f t="shared" si="59"/>
        <v>0</v>
      </c>
      <c r="AK124" s="176"/>
    </row>
    <row r="125" spans="3:37" ht="12.75" customHeight="1" x14ac:dyDescent="0.3">
      <c r="C125" s="114"/>
      <c r="D125" s="353" t="str">
        <f>IF(obp!D82="","",obp!D82)</f>
        <v/>
      </c>
      <c r="E125" s="388" t="str">
        <f>IF(obp!E82=0,"",obp!E82)</f>
        <v/>
      </c>
      <c r="F125" s="105" t="str">
        <f>IF(obp!F82="","",obp!F82+1)</f>
        <v/>
      </c>
      <c r="G125" s="354" t="str">
        <f>IF(obp!G82="","",obp!G82)</f>
        <v/>
      </c>
      <c r="H125" s="684" t="str">
        <f>IF(obp!H82=0,"",obp!H82)</f>
        <v/>
      </c>
      <c r="I125" s="389" t="str">
        <f>IF(J125="","",(IF(obp!I82+1&gt;LOOKUP(H125,schaal2019,regels2019),obp!I82,obp!I82+1)))</f>
        <v/>
      </c>
      <c r="J125" s="356" t="str">
        <f>IF(obp!J82="","",obp!J82)</f>
        <v/>
      </c>
      <c r="K125" s="370"/>
      <c r="L125" s="1049">
        <f>IF(obp!L82="","",obp!L82)</f>
        <v>0</v>
      </c>
      <c r="M125" s="1049">
        <f>IF(obp!M82="","",obp!M82)</f>
        <v>0</v>
      </c>
      <c r="N125" s="1051" t="str">
        <f t="shared" si="48"/>
        <v/>
      </c>
      <c r="O125" s="1051"/>
      <c r="P125" s="1125" t="str">
        <f t="shared" si="49"/>
        <v/>
      </c>
      <c r="Q125" s="472"/>
      <c r="R125" s="923" t="str">
        <f t="shared" si="60"/>
        <v/>
      </c>
      <c r="S125" s="923" t="str">
        <f t="shared" si="50"/>
        <v/>
      </c>
      <c r="T125" s="925" t="str">
        <f t="shared" si="51"/>
        <v/>
      </c>
      <c r="U125" s="545"/>
      <c r="V125" s="1103"/>
      <c r="W125" s="1103"/>
      <c r="X125" s="1060"/>
      <c r="Y125" s="1095" t="e">
        <f t="shared" si="52"/>
        <v>#VALUE!</v>
      </c>
      <c r="Z125" s="1094">
        <f>tab!B$50</f>
        <v>0.6</v>
      </c>
      <c r="AA125" s="1126" t="e">
        <f t="shared" si="53"/>
        <v>#VALUE!</v>
      </c>
      <c r="AB125" s="1126" t="e">
        <f t="shared" si="54"/>
        <v>#VALUE!</v>
      </c>
      <c r="AC125" s="1126" t="e">
        <f t="shared" si="55"/>
        <v>#VALUE!</v>
      </c>
      <c r="AD125" s="1128" t="e">
        <f t="shared" si="56"/>
        <v>#VALUE!</v>
      </c>
      <c r="AE125" s="1128">
        <f t="shared" si="57"/>
        <v>0</v>
      </c>
      <c r="AF125" s="1096">
        <f>IF(H125&gt;8,tab!$B$51,tab!$B$54)</f>
        <v>0.5</v>
      </c>
      <c r="AG125" s="1097">
        <f t="shared" si="58"/>
        <v>0</v>
      </c>
      <c r="AH125" s="1093">
        <f t="shared" si="59"/>
        <v>0</v>
      </c>
      <c r="AK125" s="176"/>
    </row>
    <row r="126" spans="3:37" ht="12.75" customHeight="1" x14ac:dyDescent="0.3">
      <c r="C126" s="114"/>
      <c r="D126" s="353" t="str">
        <f>IF(obp!D83="","",obp!D83)</f>
        <v/>
      </c>
      <c r="E126" s="388" t="str">
        <f>IF(obp!E83=0,"",obp!E83)</f>
        <v/>
      </c>
      <c r="F126" s="105" t="str">
        <f>IF(obp!F83="","",obp!F83+1)</f>
        <v/>
      </c>
      <c r="G126" s="354" t="str">
        <f>IF(obp!G83="","",obp!G83)</f>
        <v/>
      </c>
      <c r="H126" s="684" t="str">
        <f>IF(obp!H83=0,"",obp!H83)</f>
        <v/>
      </c>
      <c r="I126" s="389" t="str">
        <f>IF(J126="","",(IF(obp!I83+1&gt;LOOKUP(H126,schaal2019,regels2019),obp!I83,obp!I83+1)))</f>
        <v/>
      </c>
      <c r="J126" s="356" t="str">
        <f>IF(obp!J83="","",obp!J83)</f>
        <v/>
      </c>
      <c r="K126" s="370"/>
      <c r="L126" s="1049">
        <f>IF(obp!L83="","",obp!L83)</f>
        <v>0</v>
      </c>
      <c r="M126" s="1049">
        <f>IF(obp!M83="","",obp!M83)</f>
        <v>0</v>
      </c>
      <c r="N126" s="1051" t="str">
        <f t="shared" si="48"/>
        <v/>
      </c>
      <c r="O126" s="1051"/>
      <c r="P126" s="1125" t="str">
        <f t="shared" si="49"/>
        <v/>
      </c>
      <c r="Q126" s="472"/>
      <c r="R126" s="923" t="str">
        <f t="shared" si="60"/>
        <v/>
      </c>
      <c r="S126" s="923" t="str">
        <f t="shared" si="50"/>
        <v/>
      </c>
      <c r="T126" s="925" t="str">
        <f t="shared" si="51"/>
        <v/>
      </c>
      <c r="U126" s="545"/>
      <c r="V126" s="1103"/>
      <c r="W126" s="1103"/>
      <c r="X126" s="1060"/>
      <c r="Y126" s="1095" t="e">
        <f t="shared" si="52"/>
        <v>#VALUE!</v>
      </c>
      <c r="Z126" s="1094">
        <f>tab!B$50</f>
        <v>0.6</v>
      </c>
      <c r="AA126" s="1126" t="e">
        <f t="shared" si="53"/>
        <v>#VALUE!</v>
      </c>
      <c r="AB126" s="1126" t="e">
        <f t="shared" si="54"/>
        <v>#VALUE!</v>
      </c>
      <c r="AC126" s="1126" t="e">
        <f t="shared" si="55"/>
        <v>#VALUE!</v>
      </c>
      <c r="AD126" s="1128" t="e">
        <f t="shared" si="56"/>
        <v>#VALUE!</v>
      </c>
      <c r="AE126" s="1128">
        <f t="shared" si="57"/>
        <v>0</v>
      </c>
      <c r="AF126" s="1096">
        <f>IF(H126&gt;8,tab!$B$51,tab!$B$54)</f>
        <v>0.5</v>
      </c>
      <c r="AG126" s="1097">
        <f t="shared" si="58"/>
        <v>0</v>
      </c>
      <c r="AH126" s="1093">
        <f t="shared" si="59"/>
        <v>0</v>
      </c>
      <c r="AK126" s="176"/>
    </row>
    <row r="127" spans="3:37" ht="12.75" customHeight="1" x14ac:dyDescent="0.3">
      <c r="C127" s="114"/>
      <c r="D127" s="353" t="str">
        <f>IF(obp!D84="","",obp!D84)</f>
        <v/>
      </c>
      <c r="E127" s="388" t="str">
        <f>IF(obp!E84=0,"",obp!E84)</f>
        <v/>
      </c>
      <c r="F127" s="105" t="str">
        <f>IF(obp!F84="","",obp!F84+1)</f>
        <v/>
      </c>
      <c r="G127" s="354" t="str">
        <f>IF(obp!G84="","",obp!G84)</f>
        <v/>
      </c>
      <c r="H127" s="684" t="str">
        <f>IF(obp!H84=0,"",obp!H84)</f>
        <v/>
      </c>
      <c r="I127" s="389" t="str">
        <f>IF(J127="","",(IF(obp!I84+1&gt;LOOKUP(H127,schaal2019,regels2019),obp!I84,obp!I84+1)))</f>
        <v/>
      </c>
      <c r="J127" s="356" t="str">
        <f>IF(obp!J84="","",obp!J84)</f>
        <v/>
      </c>
      <c r="K127" s="370"/>
      <c r="L127" s="1049">
        <f>IF(obp!L84="","",obp!L84)</f>
        <v>0</v>
      </c>
      <c r="M127" s="1049">
        <f>IF(obp!M84="","",obp!M84)</f>
        <v>0</v>
      </c>
      <c r="N127" s="1051" t="str">
        <f t="shared" si="48"/>
        <v/>
      </c>
      <c r="O127" s="1051"/>
      <c r="P127" s="1125" t="str">
        <f t="shared" si="49"/>
        <v/>
      </c>
      <c r="Q127" s="472"/>
      <c r="R127" s="923" t="str">
        <f t="shared" si="60"/>
        <v/>
      </c>
      <c r="S127" s="923" t="str">
        <f t="shared" si="50"/>
        <v/>
      </c>
      <c r="T127" s="925" t="str">
        <f t="shared" si="51"/>
        <v/>
      </c>
      <c r="U127" s="545"/>
      <c r="V127" s="1103"/>
      <c r="W127" s="1103"/>
      <c r="X127" s="1060"/>
      <c r="Y127" s="1095" t="e">
        <f t="shared" si="52"/>
        <v>#VALUE!</v>
      </c>
      <c r="Z127" s="1094">
        <f>tab!B$50</f>
        <v>0.6</v>
      </c>
      <c r="AA127" s="1126" t="e">
        <f t="shared" si="53"/>
        <v>#VALUE!</v>
      </c>
      <c r="AB127" s="1126" t="e">
        <f t="shared" si="54"/>
        <v>#VALUE!</v>
      </c>
      <c r="AC127" s="1126" t="e">
        <f t="shared" si="55"/>
        <v>#VALUE!</v>
      </c>
      <c r="AD127" s="1128" t="e">
        <f t="shared" si="56"/>
        <v>#VALUE!</v>
      </c>
      <c r="AE127" s="1128">
        <f t="shared" si="57"/>
        <v>0</v>
      </c>
      <c r="AF127" s="1096">
        <f>IF(H127&gt;8,tab!$B$51,tab!$B$54)</f>
        <v>0.5</v>
      </c>
      <c r="AG127" s="1097">
        <f t="shared" si="58"/>
        <v>0</v>
      </c>
      <c r="AH127" s="1093">
        <f t="shared" si="59"/>
        <v>0</v>
      </c>
      <c r="AK127" s="176"/>
    </row>
    <row r="128" spans="3:37" ht="12.75" customHeight="1" x14ac:dyDescent="0.3">
      <c r="C128" s="114"/>
      <c r="D128" s="353" t="str">
        <f>IF(obp!D85="","",obp!D85)</f>
        <v/>
      </c>
      <c r="E128" s="388" t="str">
        <f>IF(obp!E85=0,"",obp!E85)</f>
        <v/>
      </c>
      <c r="F128" s="105" t="str">
        <f>IF(obp!F85="","",obp!F85+1)</f>
        <v/>
      </c>
      <c r="G128" s="354" t="str">
        <f>IF(obp!G85="","",obp!G85)</f>
        <v/>
      </c>
      <c r="H128" s="684" t="str">
        <f>IF(obp!H85=0,"",obp!H85)</f>
        <v/>
      </c>
      <c r="I128" s="389" t="str">
        <f>IF(J128="","",(IF(obp!I85+1&gt;LOOKUP(H128,schaal2019,regels2019),obp!I85,obp!I85+1)))</f>
        <v/>
      </c>
      <c r="J128" s="356" t="str">
        <f>IF(obp!J85="","",obp!J85)</f>
        <v/>
      </c>
      <c r="K128" s="370"/>
      <c r="L128" s="1049">
        <f>IF(obp!L85="","",obp!L85)</f>
        <v>0</v>
      </c>
      <c r="M128" s="1049">
        <f>IF(obp!M85="","",obp!M85)</f>
        <v>0</v>
      </c>
      <c r="N128" s="1051" t="str">
        <f t="shared" si="48"/>
        <v/>
      </c>
      <c r="O128" s="1051"/>
      <c r="P128" s="1125" t="str">
        <f t="shared" si="49"/>
        <v/>
      </c>
      <c r="Q128" s="472"/>
      <c r="R128" s="923" t="str">
        <f t="shared" si="60"/>
        <v/>
      </c>
      <c r="S128" s="923" t="str">
        <f t="shared" si="50"/>
        <v/>
      </c>
      <c r="T128" s="925" t="str">
        <f t="shared" si="51"/>
        <v/>
      </c>
      <c r="U128" s="545"/>
      <c r="V128" s="1103"/>
      <c r="W128" s="1103"/>
      <c r="X128" s="1060"/>
      <c r="Y128" s="1095" t="e">
        <f t="shared" si="52"/>
        <v>#VALUE!</v>
      </c>
      <c r="Z128" s="1094">
        <f>tab!B$50</f>
        <v>0.6</v>
      </c>
      <c r="AA128" s="1126" t="e">
        <f t="shared" si="53"/>
        <v>#VALUE!</v>
      </c>
      <c r="AB128" s="1126" t="e">
        <f t="shared" si="54"/>
        <v>#VALUE!</v>
      </c>
      <c r="AC128" s="1126" t="e">
        <f t="shared" si="55"/>
        <v>#VALUE!</v>
      </c>
      <c r="AD128" s="1128" t="e">
        <f t="shared" si="56"/>
        <v>#VALUE!</v>
      </c>
      <c r="AE128" s="1128">
        <f t="shared" si="57"/>
        <v>0</v>
      </c>
      <c r="AF128" s="1096">
        <f>IF(H128&gt;8,tab!$B$51,tab!$B$54)</f>
        <v>0.5</v>
      </c>
      <c r="AG128" s="1097">
        <f t="shared" si="58"/>
        <v>0</v>
      </c>
      <c r="AH128" s="1093">
        <f t="shared" si="59"/>
        <v>0</v>
      </c>
      <c r="AK128" s="176"/>
    </row>
    <row r="129" spans="2:42" ht="12.75" customHeight="1" x14ac:dyDescent="0.3">
      <c r="C129" s="114"/>
      <c r="D129" s="353" t="str">
        <f>IF(obp!D86="","",obp!D86)</f>
        <v/>
      </c>
      <c r="E129" s="388" t="str">
        <f>IF(obp!E86=0,"",obp!E86)</f>
        <v/>
      </c>
      <c r="F129" s="105" t="str">
        <f>IF(obp!F86="","",obp!F86+1)</f>
        <v/>
      </c>
      <c r="G129" s="354" t="str">
        <f>IF(obp!G86="","",obp!G86)</f>
        <v/>
      </c>
      <c r="H129" s="684" t="str">
        <f>IF(obp!H86=0,"",obp!H86)</f>
        <v/>
      </c>
      <c r="I129" s="389" t="str">
        <f>IF(J129="","",(IF(obp!I86+1&gt;LOOKUP(H129,schaal2019,regels2019),obp!I86,obp!I86+1)))</f>
        <v/>
      </c>
      <c r="J129" s="356" t="str">
        <f>IF(obp!J86="","",obp!J86)</f>
        <v/>
      </c>
      <c r="K129" s="370"/>
      <c r="L129" s="1049">
        <f>IF(obp!L86="","",obp!L86)</f>
        <v>0</v>
      </c>
      <c r="M129" s="1049">
        <f>IF(obp!M86="","",obp!M86)</f>
        <v>0</v>
      </c>
      <c r="N129" s="1051" t="str">
        <f t="shared" si="48"/>
        <v/>
      </c>
      <c r="O129" s="1051"/>
      <c r="P129" s="1125" t="str">
        <f t="shared" si="49"/>
        <v/>
      </c>
      <c r="Q129" s="472"/>
      <c r="R129" s="923" t="str">
        <f t="shared" si="60"/>
        <v/>
      </c>
      <c r="S129" s="923" t="str">
        <f t="shared" si="50"/>
        <v/>
      </c>
      <c r="T129" s="925" t="str">
        <f t="shared" si="51"/>
        <v/>
      </c>
      <c r="U129" s="545"/>
      <c r="V129" s="1103"/>
      <c r="W129" s="1103"/>
      <c r="X129" s="1060"/>
      <c r="Y129" s="1095" t="e">
        <f t="shared" si="52"/>
        <v>#VALUE!</v>
      </c>
      <c r="Z129" s="1094">
        <f>tab!B$50</f>
        <v>0.6</v>
      </c>
      <c r="AA129" s="1126" t="e">
        <f t="shared" si="53"/>
        <v>#VALUE!</v>
      </c>
      <c r="AB129" s="1126" t="e">
        <f t="shared" si="54"/>
        <v>#VALUE!</v>
      </c>
      <c r="AC129" s="1126" t="e">
        <f t="shared" si="55"/>
        <v>#VALUE!</v>
      </c>
      <c r="AD129" s="1128" t="e">
        <f t="shared" si="56"/>
        <v>#VALUE!</v>
      </c>
      <c r="AE129" s="1128">
        <f t="shared" si="57"/>
        <v>0</v>
      </c>
      <c r="AF129" s="1096">
        <f>IF(H129&gt;8,tab!$B$51,tab!$B$54)</f>
        <v>0.5</v>
      </c>
      <c r="AG129" s="1097">
        <f t="shared" si="58"/>
        <v>0</v>
      </c>
      <c r="AH129" s="1093">
        <f t="shared" si="59"/>
        <v>0</v>
      </c>
      <c r="AK129" s="176"/>
    </row>
    <row r="130" spans="2:42" ht="12.75" customHeight="1" x14ac:dyDescent="0.3">
      <c r="C130" s="114"/>
      <c r="D130" s="353" t="str">
        <f>IF(obp!D87="","",obp!D87)</f>
        <v/>
      </c>
      <c r="E130" s="388" t="str">
        <f>IF(obp!E87=0,"",obp!E87)</f>
        <v/>
      </c>
      <c r="F130" s="105" t="str">
        <f>IF(obp!F87="","",obp!F87+1)</f>
        <v/>
      </c>
      <c r="G130" s="354" t="str">
        <f>IF(obp!G87="","",obp!G87)</f>
        <v/>
      </c>
      <c r="H130" s="684" t="str">
        <f>IF(obp!H87=0,"",obp!H87)</f>
        <v/>
      </c>
      <c r="I130" s="389" t="str">
        <f>IF(J130="","",(IF(obp!I87+1&gt;LOOKUP(H130,schaal2019,regels2019),obp!I87,obp!I87+1)))</f>
        <v/>
      </c>
      <c r="J130" s="356" t="str">
        <f>IF(obp!J87="","",obp!J87)</f>
        <v/>
      </c>
      <c r="K130" s="370"/>
      <c r="L130" s="1049">
        <f>IF(obp!L87="","",obp!L87)</f>
        <v>0</v>
      </c>
      <c r="M130" s="1049">
        <f>IF(obp!M87="","",obp!M87)</f>
        <v>0</v>
      </c>
      <c r="N130" s="1051" t="str">
        <f t="shared" si="48"/>
        <v/>
      </c>
      <c r="O130" s="1051"/>
      <c r="P130" s="1125" t="str">
        <f t="shared" si="49"/>
        <v/>
      </c>
      <c r="Q130" s="472"/>
      <c r="R130" s="923" t="str">
        <f t="shared" si="60"/>
        <v/>
      </c>
      <c r="S130" s="923" t="str">
        <f t="shared" si="50"/>
        <v/>
      </c>
      <c r="T130" s="925" t="str">
        <f t="shared" si="51"/>
        <v/>
      </c>
      <c r="U130" s="545"/>
      <c r="V130" s="1103"/>
      <c r="W130" s="1103"/>
      <c r="X130" s="1060"/>
      <c r="Y130" s="1095" t="e">
        <f t="shared" si="52"/>
        <v>#VALUE!</v>
      </c>
      <c r="Z130" s="1094">
        <f>tab!B$50</f>
        <v>0.6</v>
      </c>
      <c r="AA130" s="1126" t="e">
        <f t="shared" si="53"/>
        <v>#VALUE!</v>
      </c>
      <c r="AB130" s="1126" t="e">
        <f t="shared" si="54"/>
        <v>#VALUE!</v>
      </c>
      <c r="AC130" s="1126" t="e">
        <f t="shared" si="55"/>
        <v>#VALUE!</v>
      </c>
      <c r="AD130" s="1128" t="e">
        <f t="shared" si="56"/>
        <v>#VALUE!</v>
      </c>
      <c r="AE130" s="1128">
        <f t="shared" si="57"/>
        <v>0</v>
      </c>
      <c r="AF130" s="1096">
        <f>IF(H130&gt;8,tab!$B$51,tab!$B$54)</f>
        <v>0.5</v>
      </c>
      <c r="AG130" s="1097">
        <f t="shared" si="58"/>
        <v>0</v>
      </c>
      <c r="AH130" s="1093">
        <f t="shared" si="59"/>
        <v>0</v>
      </c>
      <c r="AK130" s="176"/>
    </row>
    <row r="131" spans="2:42" ht="12.75" customHeight="1" x14ac:dyDescent="0.3">
      <c r="C131" s="114"/>
      <c r="D131" s="353" t="str">
        <f>IF(obp!D88="","",obp!D88)</f>
        <v/>
      </c>
      <c r="E131" s="388" t="str">
        <f>IF(obp!E88=0,"",obp!E88)</f>
        <v/>
      </c>
      <c r="F131" s="105" t="str">
        <f>IF(obp!F88="","",obp!F88+1)</f>
        <v/>
      </c>
      <c r="G131" s="354" t="str">
        <f>IF(obp!G88="","",obp!G88)</f>
        <v/>
      </c>
      <c r="H131" s="684" t="str">
        <f>IF(obp!H88=0,"",obp!H88)</f>
        <v/>
      </c>
      <c r="I131" s="389" t="str">
        <f>IF(J131="","",(IF(obp!I88+1&gt;LOOKUP(H131,schaal2019,regels2019),obp!I88,obp!I88+1)))</f>
        <v/>
      </c>
      <c r="J131" s="356" t="str">
        <f>IF(obp!J88="","",obp!J88)</f>
        <v/>
      </c>
      <c r="K131" s="370"/>
      <c r="L131" s="1049">
        <f>IF(obp!L88="","",obp!L88)</f>
        <v>0</v>
      </c>
      <c r="M131" s="1049">
        <f>IF(obp!M88="","",obp!M88)</f>
        <v>0</v>
      </c>
      <c r="N131" s="1051" t="str">
        <f t="shared" si="48"/>
        <v/>
      </c>
      <c r="O131" s="1051"/>
      <c r="P131" s="1125" t="str">
        <f t="shared" si="49"/>
        <v/>
      </c>
      <c r="Q131" s="472"/>
      <c r="R131" s="923" t="str">
        <f t="shared" si="60"/>
        <v/>
      </c>
      <c r="S131" s="923" t="str">
        <f t="shared" si="50"/>
        <v/>
      </c>
      <c r="T131" s="925" t="str">
        <f t="shared" si="51"/>
        <v/>
      </c>
      <c r="U131" s="545"/>
      <c r="V131" s="1103"/>
      <c r="W131" s="1103"/>
      <c r="X131" s="1060"/>
      <c r="Y131" s="1095" t="e">
        <f t="shared" si="52"/>
        <v>#VALUE!</v>
      </c>
      <c r="Z131" s="1094">
        <f>tab!B$50</f>
        <v>0.6</v>
      </c>
      <c r="AA131" s="1126" t="e">
        <f t="shared" si="53"/>
        <v>#VALUE!</v>
      </c>
      <c r="AB131" s="1126" t="e">
        <f t="shared" si="54"/>
        <v>#VALUE!</v>
      </c>
      <c r="AC131" s="1126" t="e">
        <f t="shared" si="55"/>
        <v>#VALUE!</v>
      </c>
      <c r="AD131" s="1128" t="e">
        <f t="shared" si="56"/>
        <v>#VALUE!</v>
      </c>
      <c r="AE131" s="1128">
        <f t="shared" si="57"/>
        <v>0</v>
      </c>
      <c r="AF131" s="1096">
        <f>IF(H131&gt;8,tab!$B$51,tab!$B$54)</f>
        <v>0.5</v>
      </c>
      <c r="AG131" s="1097">
        <f t="shared" si="58"/>
        <v>0</v>
      </c>
      <c r="AH131" s="1093">
        <f t="shared" si="59"/>
        <v>0</v>
      </c>
      <c r="AK131" s="176"/>
    </row>
    <row r="132" spans="2:42" x14ac:dyDescent="0.3">
      <c r="C132" s="114"/>
      <c r="D132" s="730"/>
      <c r="E132" s="731"/>
      <c r="F132" s="119"/>
      <c r="G132" s="683"/>
      <c r="H132" s="732"/>
      <c r="I132" s="369"/>
      <c r="J132" s="963">
        <f>SUM(J102:J131)</f>
        <v>1</v>
      </c>
      <c r="K132" s="715"/>
      <c r="L132" s="1062">
        <f t="shared" ref="L132:P132" si="61">SUM(L102:L131)</f>
        <v>0</v>
      </c>
      <c r="M132" s="1062">
        <f t="shared" si="61"/>
        <v>0</v>
      </c>
      <c r="N132" s="1039">
        <f>SUM(N102:N131)</f>
        <v>40</v>
      </c>
      <c r="O132" s="919"/>
      <c r="P132" s="1039">
        <f t="shared" si="61"/>
        <v>40</v>
      </c>
      <c r="Q132" s="715"/>
      <c r="R132" s="964">
        <f t="shared" ref="R132:T132" si="62">SUM(R102:R131)</f>
        <v>58946.82386980109</v>
      </c>
      <c r="S132" s="965">
        <f t="shared" si="62"/>
        <v>1456.3761301989152</v>
      </c>
      <c r="T132" s="962">
        <f t="shared" si="62"/>
        <v>60403.200000000004</v>
      </c>
      <c r="U132" s="117"/>
      <c r="V132" s="1063"/>
      <c r="W132" s="1063"/>
      <c r="Y132" s="1112"/>
      <c r="Z132" s="1113"/>
      <c r="AA132" s="1113"/>
      <c r="AB132" s="1113"/>
      <c r="AC132" s="1113"/>
      <c r="AG132" s="1090">
        <f>SUM(AG102:AG131)</f>
        <v>0</v>
      </c>
      <c r="AH132" s="1114">
        <f>SUM(AH102:AH131)</f>
        <v>0</v>
      </c>
    </row>
    <row r="133" spans="2:42" x14ac:dyDescent="0.3">
      <c r="C133" s="626"/>
      <c r="D133" s="234"/>
      <c r="E133" s="234"/>
      <c r="F133" s="671"/>
      <c r="G133" s="671"/>
      <c r="H133" s="671"/>
      <c r="I133" s="672"/>
      <c r="J133" s="673"/>
      <c r="K133" s="672"/>
      <c r="L133" s="672"/>
      <c r="M133" s="672"/>
      <c r="N133" s="673"/>
      <c r="O133" s="672"/>
      <c r="P133" s="672"/>
      <c r="Q133" s="672"/>
      <c r="R133" s="378"/>
      <c r="S133" s="379"/>
      <c r="T133" s="780"/>
      <c r="U133" s="674"/>
      <c r="V133" s="1063"/>
      <c r="W133" s="1063"/>
      <c r="Y133" s="1115"/>
      <c r="Z133" s="1098"/>
      <c r="AA133" s="1098"/>
      <c r="AB133" s="1098"/>
      <c r="AC133" s="1098"/>
      <c r="AG133" s="1099"/>
      <c r="AH133" s="1100"/>
    </row>
    <row r="134" spans="2:42" ht="12.75" customHeight="1" x14ac:dyDescent="0.3">
      <c r="G134" s="404"/>
      <c r="H134" s="16"/>
      <c r="J134" s="292"/>
      <c r="N134" s="292"/>
      <c r="R134" s="291"/>
      <c r="S134" s="154"/>
      <c r="T134" s="782"/>
      <c r="V134" s="1063"/>
      <c r="W134" s="1063"/>
      <c r="Y134" s="1095"/>
      <c r="Z134" s="1103"/>
      <c r="AA134" s="1103"/>
      <c r="AB134" s="1103"/>
      <c r="AC134" s="1103"/>
      <c r="AG134" s="1097"/>
      <c r="AH134" s="1093"/>
    </row>
    <row r="135" spans="2:42" ht="12.75" customHeight="1" x14ac:dyDescent="0.3">
      <c r="G135" s="404"/>
      <c r="H135" s="16"/>
      <c r="J135" s="292"/>
      <c r="N135" s="292"/>
      <c r="R135" s="291"/>
      <c r="S135" s="154"/>
      <c r="T135" s="782"/>
      <c r="V135" s="1063"/>
      <c r="W135" s="1063"/>
      <c r="Y135" s="1095"/>
      <c r="Z135" s="1103"/>
      <c r="AA135" s="1103"/>
      <c r="AB135" s="1103"/>
      <c r="AC135" s="1103"/>
      <c r="AG135" s="1097"/>
      <c r="AH135" s="1093"/>
    </row>
    <row r="136" spans="2:42" ht="12.75" customHeight="1" x14ac:dyDescent="0.3">
      <c r="C136" s="8" t="s">
        <v>180</v>
      </c>
      <c r="E136" s="289" t="str">
        <f>dir!E75</f>
        <v>2022/23</v>
      </c>
      <c r="G136" s="404"/>
      <c r="H136" s="16"/>
      <c r="J136" s="292"/>
      <c r="N136" s="292"/>
      <c r="R136" s="291"/>
      <c r="S136" s="154"/>
      <c r="T136" s="782"/>
      <c r="V136" s="1063"/>
      <c r="W136" s="1063"/>
      <c r="Y136" s="1095"/>
      <c r="Z136" s="1103"/>
      <c r="AA136" s="1103"/>
      <c r="AB136" s="1103"/>
      <c r="AC136" s="1103"/>
      <c r="AG136" s="1097"/>
      <c r="AH136" s="1093"/>
    </row>
    <row r="137" spans="2:42" ht="12.75" customHeight="1" x14ac:dyDescent="0.3">
      <c r="C137" s="8" t="s">
        <v>193</v>
      </c>
      <c r="E137" s="289">
        <f>dir!E76</f>
        <v>44835</v>
      </c>
      <c r="G137" s="404"/>
      <c r="H137" s="16"/>
      <c r="J137" s="292"/>
      <c r="N137" s="292"/>
      <c r="R137" s="291"/>
      <c r="S137" s="154"/>
      <c r="T137" s="782"/>
      <c r="V137" s="1063"/>
      <c r="W137" s="1063"/>
      <c r="Y137" s="1095"/>
      <c r="Z137" s="1103"/>
      <c r="AA137" s="1103"/>
      <c r="AB137" s="1103"/>
      <c r="AC137" s="1103"/>
      <c r="AG137" s="1097"/>
      <c r="AH137" s="1093"/>
    </row>
    <row r="138" spans="2:42" ht="12.75" customHeight="1" x14ac:dyDescent="0.3">
      <c r="G138" s="404"/>
      <c r="H138" s="16"/>
      <c r="J138" s="292"/>
      <c r="N138" s="292"/>
      <c r="R138" s="291"/>
      <c r="S138" s="154"/>
      <c r="T138" s="782"/>
      <c r="V138" s="1063"/>
      <c r="W138" s="1063"/>
      <c r="Y138" s="1095"/>
      <c r="Z138" s="1103"/>
      <c r="AA138" s="1103"/>
      <c r="AB138" s="1103"/>
      <c r="AC138" s="1103"/>
      <c r="AG138" s="1097"/>
      <c r="AH138" s="1093"/>
    </row>
    <row r="139" spans="2:42" ht="12.75" customHeight="1" x14ac:dyDescent="0.3">
      <c r="C139" s="163"/>
      <c r="D139" s="961"/>
      <c r="E139" s="927"/>
      <c r="F139" s="928"/>
      <c r="G139" s="929"/>
      <c r="H139" s="930"/>
      <c r="I139" s="930"/>
      <c r="J139" s="931"/>
      <c r="K139" s="932"/>
      <c r="L139" s="930"/>
      <c r="M139" s="930"/>
      <c r="N139" s="931"/>
      <c r="O139" s="930"/>
      <c r="P139" s="930"/>
      <c r="Q139" s="932"/>
      <c r="R139" s="932"/>
      <c r="S139" s="933"/>
      <c r="T139" s="934"/>
      <c r="U139" s="109"/>
      <c r="V139" s="1063"/>
      <c r="W139" s="1063"/>
      <c r="AE139" s="1077"/>
      <c r="AF139" s="1078"/>
      <c r="AI139" s="1077"/>
      <c r="AJ139" s="1089"/>
      <c r="AK139" s="270"/>
      <c r="AL139" s="271"/>
      <c r="AM139" s="283"/>
      <c r="AN139" s="18"/>
    </row>
    <row r="140" spans="2:42" s="129" customFormat="1" ht="12.75" customHeight="1" x14ac:dyDescent="0.3">
      <c r="B140" s="134"/>
      <c r="C140" s="382"/>
      <c r="D140" s="1033" t="s">
        <v>285</v>
      </c>
      <c r="E140" s="1033"/>
      <c r="F140" s="1033"/>
      <c r="G140" s="1033"/>
      <c r="H140" s="1033"/>
      <c r="I140" s="1033"/>
      <c r="J140" s="1033"/>
      <c r="K140" s="1034"/>
      <c r="L140" s="1033" t="s">
        <v>502</v>
      </c>
      <c r="M140" s="1035"/>
      <c r="N140" s="1033"/>
      <c r="O140" s="1033"/>
      <c r="P140" s="1133"/>
      <c r="Q140" s="902"/>
      <c r="R140" s="1033" t="s">
        <v>503</v>
      </c>
      <c r="S140" s="1036"/>
      <c r="T140" s="1134"/>
      <c r="U140" s="1135"/>
      <c r="V140" s="1064"/>
      <c r="W140" s="1064"/>
      <c r="X140" s="384"/>
      <c r="Y140" s="1063"/>
      <c r="Z140" s="1136"/>
      <c r="AA140" s="1063"/>
      <c r="AB140" s="1063"/>
      <c r="AC140" s="1063"/>
      <c r="AD140" s="1137"/>
      <c r="AE140" s="1137"/>
      <c r="AF140" s="1136"/>
      <c r="AG140" s="1090"/>
      <c r="AH140" s="1091"/>
      <c r="AI140" s="1063"/>
      <c r="AJ140" s="1063"/>
      <c r="AO140" s="384"/>
      <c r="AP140" s="384"/>
    </row>
    <row r="141" spans="2:42" s="129" customFormat="1" ht="12.75" customHeight="1" x14ac:dyDescent="0.3">
      <c r="B141" s="134"/>
      <c r="C141" s="382"/>
      <c r="D141" s="903" t="s">
        <v>494</v>
      </c>
      <c r="E141" s="877" t="s">
        <v>181</v>
      </c>
      <c r="F141" s="904" t="s">
        <v>137</v>
      </c>
      <c r="G141" s="905" t="s">
        <v>273</v>
      </c>
      <c r="H141" s="904" t="s">
        <v>206</v>
      </c>
      <c r="I141" s="904" t="s">
        <v>225</v>
      </c>
      <c r="J141" s="906" t="s">
        <v>140</v>
      </c>
      <c r="K141" s="914"/>
      <c r="L141" s="907" t="s">
        <v>479</v>
      </c>
      <c r="M141" s="907" t="s">
        <v>480</v>
      </c>
      <c r="N141" s="907" t="s">
        <v>478</v>
      </c>
      <c r="O141" s="907" t="s">
        <v>479</v>
      </c>
      <c r="P141" s="1138" t="s">
        <v>504</v>
      </c>
      <c r="Q141" s="881"/>
      <c r="R141" s="1037" t="s">
        <v>192</v>
      </c>
      <c r="S141" s="909" t="s">
        <v>505</v>
      </c>
      <c r="T141" s="910" t="s">
        <v>192</v>
      </c>
      <c r="U141" s="1139"/>
      <c r="V141" s="1101"/>
      <c r="W141" s="1101"/>
      <c r="X141" s="386"/>
      <c r="Y141" s="915" t="s">
        <v>303</v>
      </c>
      <c r="Z141" s="1127" t="s">
        <v>497</v>
      </c>
      <c r="AA141" s="1101" t="s">
        <v>498</v>
      </c>
      <c r="AB141" s="1101" t="s">
        <v>498</v>
      </c>
      <c r="AC141" s="1101" t="s">
        <v>495</v>
      </c>
      <c r="AD141" s="1048" t="s">
        <v>488</v>
      </c>
      <c r="AE141" s="1048" t="s">
        <v>489</v>
      </c>
      <c r="AF141" s="916" t="s">
        <v>490</v>
      </c>
      <c r="AG141" s="1092" t="s">
        <v>297</v>
      </c>
      <c r="AH141" s="1091" t="s">
        <v>427</v>
      </c>
      <c r="AI141" s="1063"/>
      <c r="AJ141" s="1063"/>
      <c r="AO141" s="384"/>
      <c r="AP141" s="386"/>
    </row>
    <row r="142" spans="2:42" s="129" customFormat="1" ht="12.75" customHeight="1" x14ac:dyDescent="0.3">
      <c r="B142" s="134"/>
      <c r="C142" s="382"/>
      <c r="D142" s="911"/>
      <c r="E142" s="877"/>
      <c r="F142" s="904" t="s">
        <v>138</v>
      </c>
      <c r="G142" s="905" t="s">
        <v>274</v>
      </c>
      <c r="H142" s="904"/>
      <c r="I142" s="904"/>
      <c r="J142" s="906" t="s">
        <v>452</v>
      </c>
      <c r="K142" s="914"/>
      <c r="L142" s="907" t="s">
        <v>482</v>
      </c>
      <c r="M142" s="907" t="s">
        <v>483</v>
      </c>
      <c r="N142" s="907" t="s">
        <v>481</v>
      </c>
      <c r="O142" s="907" t="s">
        <v>493</v>
      </c>
      <c r="P142" s="1138" t="s">
        <v>269</v>
      </c>
      <c r="Q142" s="881"/>
      <c r="R142" s="908" t="s">
        <v>506</v>
      </c>
      <c r="S142" s="909" t="s">
        <v>484</v>
      </c>
      <c r="T142" s="910" t="s">
        <v>269</v>
      </c>
      <c r="U142" s="887"/>
      <c r="V142" s="1063"/>
      <c r="W142" s="1063"/>
      <c r="Y142" s="915" t="s">
        <v>197</v>
      </c>
      <c r="Z142" s="1129">
        <f>tab!B$50</f>
        <v>0.6</v>
      </c>
      <c r="AA142" s="1101" t="s">
        <v>499</v>
      </c>
      <c r="AB142" s="1101" t="s">
        <v>500</v>
      </c>
      <c r="AC142" s="1101" t="s">
        <v>501</v>
      </c>
      <c r="AD142" s="1048" t="s">
        <v>491</v>
      </c>
      <c r="AE142" s="1048" t="s">
        <v>491</v>
      </c>
      <c r="AF142" s="916" t="s">
        <v>492</v>
      </c>
      <c r="AG142" s="1092"/>
      <c r="AH142" s="1093" t="s">
        <v>224</v>
      </c>
      <c r="AI142" s="1063"/>
      <c r="AJ142" s="1063"/>
      <c r="AP142" s="675"/>
    </row>
    <row r="143" spans="2:42" ht="12.75" customHeight="1" x14ac:dyDescent="0.3">
      <c r="C143" s="114"/>
      <c r="D143" s="912"/>
      <c r="E143" s="912"/>
      <c r="F143" s="912"/>
      <c r="G143" s="912"/>
      <c r="H143" s="912"/>
      <c r="I143" s="912"/>
      <c r="J143" s="912"/>
      <c r="K143" s="913"/>
      <c r="L143" s="912"/>
      <c r="M143" s="912"/>
      <c r="N143" s="912"/>
      <c r="O143" s="912"/>
      <c r="P143" s="912"/>
      <c r="Q143" s="913"/>
      <c r="R143" s="935"/>
      <c r="S143" s="917"/>
      <c r="T143" s="936"/>
      <c r="U143" s="113"/>
      <c r="V143" s="1063"/>
      <c r="W143" s="1063"/>
      <c r="Y143" s="915"/>
      <c r="Z143" s="1064"/>
      <c r="AA143" s="1064"/>
      <c r="AB143" s="1064"/>
      <c r="AC143" s="1064"/>
      <c r="AE143" s="1063"/>
      <c r="AF143" s="1063"/>
      <c r="AG143" s="1092"/>
      <c r="AH143" s="1093"/>
      <c r="AM143" s="8"/>
      <c r="AN143" s="8"/>
      <c r="AP143" s="291"/>
    </row>
    <row r="144" spans="2:42" ht="12.75" customHeight="1" x14ac:dyDescent="0.3">
      <c r="C144" s="114"/>
      <c r="D144" s="353" t="str">
        <f>IF(obp!D102=0,"",obp!D102)</f>
        <v/>
      </c>
      <c r="E144" s="388" t="str">
        <f>IF(obp!E102=0,"",obp!E102)</f>
        <v>nn</v>
      </c>
      <c r="F144" s="684" t="str">
        <f>IF(obp!F102="","",obp!F102+1)</f>
        <v/>
      </c>
      <c r="G144" s="710" t="str">
        <f>IF(obp!G102="","",obp!G102)</f>
        <v/>
      </c>
      <c r="H144" s="684">
        <f>IF(obp!H102=0,"",obp!H102)</f>
        <v>8</v>
      </c>
      <c r="I144" s="389">
        <f>IF(J144="","",(IF(obp!I102+1&gt;LOOKUP(H144,schaal2019,regels2019),obp!I102,obp!I102+1)))</f>
        <v>11</v>
      </c>
      <c r="J144" s="711">
        <f>IF(obp!J102="","",obp!J102)</f>
        <v>1</v>
      </c>
      <c r="K144" s="370"/>
      <c r="L144" s="1049">
        <f>IF(obp!L102="","",obp!L102)</f>
        <v>0</v>
      </c>
      <c r="M144" s="1049">
        <f>IF(obp!M102="","",obp!M102)</f>
        <v>0</v>
      </c>
      <c r="N144" s="1051">
        <f t="shared" ref="N144:N173" si="63">IF(J144="","",IF((J144*40)&gt;40,40,((J144*40))))</f>
        <v>40</v>
      </c>
      <c r="O144" s="1051"/>
      <c r="P144" s="1125">
        <f t="shared" ref="P144:P173" si="64">IF(J144="","",(SUM(L144:O144)))</f>
        <v>40</v>
      </c>
      <c r="Q144" s="472"/>
      <c r="R144" s="923">
        <f>IF(J144="","",(((1659*J144)-P144)*AB144))</f>
        <v>60183.470524412303</v>
      </c>
      <c r="S144" s="923">
        <f t="shared" ref="S144:S173" si="65">IF(J144="","",(P144*AC144)+(AA144*AD144)+((AE144*AA144*(1-AF144))))</f>
        <v>1486.9294755877036</v>
      </c>
      <c r="T144" s="925">
        <f t="shared" ref="T144:T173" si="66">IF(J144="","",(R144+S144))</f>
        <v>61670.400000000009</v>
      </c>
      <c r="U144" s="545"/>
      <c r="V144" s="1103"/>
      <c r="W144" s="1103"/>
      <c r="X144" s="1060"/>
      <c r="Y144" s="1095">
        <f t="shared" ref="Y144:Y173" si="67">ROUND(5/12*VLOOKUP(H144,salaris2020,I144+1,FALSE)+7/12*VLOOKUP(H144,salaris2020,I144+1,FALSE),0)</f>
        <v>3212</v>
      </c>
      <c r="Z144" s="1094">
        <f>tab!B$50</f>
        <v>0.6</v>
      </c>
      <c r="AA144" s="1126">
        <f t="shared" ref="AA144:AA173" si="68">(Y144*12/1659)</f>
        <v>23.233273056057865</v>
      </c>
      <c r="AB144" s="1126">
        <f t="shared" ref="AB144:AB173" si="69">(Y144*12*(1+Z144))/1659</f>
        <v>37.173236889692589</v>
      </c>
      <c r="AC144" s="1126">
        <f t="shared" ref="AC144:AC173" si="70">AB144-AA144</f>
        <v>13.939963833634724</v>
      </c>
      <c r="AD144" s="1128">
        <f t="shared" ref="AD144:AD173" si="71">(N144+O144)</f>
        <v>40</v>
      </c>
      <c r="AE144" s="1128">
        <f t="shared" ref="AE144:AE173" si="72">(L144+M144)</f>
        <v>0</v>
      </c>
      <c r="AF144" s="1096">
        <f>IF(H144&gt;8,tab!$B$51,tab!$B$54)</f>
        <v>0.4</v>
      </c>
      <c r="AG144" s="1097">
        <f t="shared" ref="AG144:AG173" si="73">IF(F144&lt;25,0,IF(F144=25,25,IF(F144&lt;40,0,IF(F144=40,40,IF(F144&gt;=40,0)))))</f>
        <v>0</v>
      </c>
      <c r="AH144" s="1093">
        <f t="shared" ref="AH144:AH173" si="74">IF(AG144=25,(Y144*1.08*(J144)/2),IF(AG144=40,(Y144*1.08*(J144)),IF(AG144=0,0)))</f>
        <v>0</v>
      </c>
      <c r="AK144" s="176"/>
    </row>
    <row r="145" spans="3:37" ht="12.75" customHeight="1" x14ac:dyDescent="0.3">
      <c r="C145" s="114"/>
      <c r="D145" s="353" t="str">
        <f>IF(obp!D103=0,"",obp!D103)</f>
        <v/>
      </c>
      <c r="E145" s="388" t="str">
        <f>IF(obp!E103=0,"",obp!E103)</f>
        <v/>
      </c>
      <c r="F145" s="684" t="str">
        <f>IF(obp!F103="","",obp!F103+1)</f>
        <v/>
      </c>
      <c r="G145" s="710" t="str">
        <f>IF(obp!G103="","",obp!G103)</f>
        <v/>
      </c>
      <c r="H145" s="684" t="str">
        <f>IF(obp!H103=0,"",obp!H103)</f>
        <v/>
      </c>
      <c r="I145" s="389" t="str">
        <f>IF(J145="","",(IF(obp!I103+1&gt;LOOKUP(H145,schaal2019,regels2019),obp!I103,obp!I103+1)))</f>
        <v/>
      </c>
      <c r="J145" s="711" t="str">
        <f>IF(obp!J103="","",obp!J103)</f>
        <v/>
      </c>
      <c r="K145" s="370"/>
      <c r="L145" s="1049">
        <f>IF(obp!L103="","",obp!L103)</f>
        <v>0</v>
      </c>
      <c r="M145" s="1049">
        <f>IF(obp!M103="","",obp!M103)</f>
        <v>0</v>
      </c>
      <c r="N145" s="1051" t="str">
        <f t="shared" si="63"/>
        <v/>
      </c>
      <c r="O145" s="1051"/>
      <c r="P145" s="1125" t="str">
        <f t="shared" si="64"/>
        <v/>
      </c>
      <c r="Q145" s="472"/>
      <c r="R145" s="923" t="str">
        <f t="shared" ref="R145:R173" si="75">IF(J145="","",(((1659*J145)-P145)*AB145))</f>
        <v/>
      </c>
      <c r="S145" s="923" t="str">
        <f t="shared" si="65"/>
        <v/>
      </c>
      <c r="T145" s="925" t="str">
        <f t="shared" si="66"/>
        <v/>
      </c>
      <c r="U145" s="545"/>
      <c r="V145" s="1103"/>
      <c r="W145" s="1103"/>
      <c r="X145" s="1060"/>
      <c r="Y145" s="1095" t="e">
        <f t="shared" si="67"/>
        <v>#VALUE!</v>
      </c>
      <c r="Z145" s="1094">
        <f>tab!B$50</f>
        <v>0.6</v>
      </c>
      <c r="AA145" s="1126" t="e">
        <f t="shared" si="68"/>
        <v>#VALUE!</v>
      </c>
      <c r="AB145" s="1126" t="e">
        <f t="shared" si="69"/>
        <v>#VALUE!</v>
      </c>
      <c r="AC145" s="1126" t="e">
        <f t="shared" si="70"/>
        <v>#VALUE!</v>
      </c>
      <c r="AD145" s="1128" t="e">
        <f t="shared" si="71"/>
        <v>#VALUE!</v>
      </c>
      <c r="AE145" s="1128">
        <f t="shared" si="72"/>
        <v>0</v>
      </c>
      <c r="AF145" s="1096">
        <f>IF(H145&gt;8,tab!$B$51,tab!$B$54)</f>
        <v>0.5</v>
      </c>
      <c r="AG145" s="1097">
        <f t="shared" si="73"/>
        <v>0</v>
      </c>
      <c r="AH145" s="1093">
        <f t="shared" si="74"/>
        <v>0</v>
      </c>
      <c r="AK145" s="176"/>
    </row>
    <row r="146" spans="3:37" ht="12.75" customHeight="1" x14ac:dyDescent="0.3">
      <c r="C146" s="114"/>
      <c r="D146" s="353" t="str">
        <f>IF(obp!D104=0,"",obp!D104)</f>
        <v/>
      </c>
      <c r="E146" s="388" t="str">
        <f>IF(obp!E104=0,"",obp!E104)</f>
        <v/>
      </c>
      <c r="F146" s="684" t="str">
        <f>IF(obp!F104="","",obp!F104+1)</f>
        <v/>
      </c>
      <c r="G146" s="710" t="str">
        <f>IF(obp!G104="","",obp!G104)</f>
        <v/>
      </c>
      <c r="H146" s="684" t="str">
        <f>IF(obp!H104=0,"",obp!H104)</f>
        <v/>
      </c>
      <c r="I146" s="389" t="str">
        <f>IF(J146="","",(IF(obp!I104+1&gt;LOOKUP(H146,schaal2019,regels2019),obp!I104,obp!I104+1)))</f>
        <v/>
      </c>
      <c r="J146" s="711" t="str">
        <f>IF(obp!J104="","",obp!J104)</f>
        <v/>
      </c>
      <c r="K146" s="370"/>
      <c r="L146" s="1049">
        <f>IF(obp!L104="","",obp!L104)</f>
        <v>0</v>
      </c>
      <c r="M146" s="1049">
        <f>IF(obp!M104="","",obp!M104)</f>
        <v>0</v>
      </c>
      <c r="N146" s="1051" t="str">
        <f t="shared" si="63"/>
        <v/>
      </c>
      <c r="O146" s="1051"/>
      <c r="P146" s="1125" t="str">
        <f t="shared" si="64"/>
        <v/>
      </c>
      <c r="Q146" s="472"/>
      <c r="R146" s="923" t="str">
        <f t="shared" si="75"/>
        <v/>
      </c>
      <c r="S146" s="923" t="str">
        <f t="shared" si="65"/>
        <v/>
      </c>
      <c r="T146" s="925" t="str">
        <f t="shared" si="66"/>
        <v/>
      </c>
      <c r="U146" s="545"/>
      <c r="V146" s="1103"/>
      <c r="W146" s="1103"/>
      <c r="X146" s="1060"/>
      <c r="Y146" s="1095" t="e">
        <f t="shared" si="67"/>
        <v>#VALUE!</v>
      </c>
      <c r="Z146" s="1094">
        <f>tab!B$50</f>
        <v>0.6</v>
      </c>
      <c r="AA146" s="1126" t="e">
        <f t="shared" si="68"/>
        <v>#VALUE!</v>
      </c>
      <c r="AB146" s="1126" t="e">
        <f t="shared" si="69"/>
        <v>#VALUE!</v>
      </c>
      <c r="AC146" s="1126" t="e">
        <f t="shared" si="70"/>
        <v>#VALUE!</v>
      </c>
      <c r="AD146" s="1128" t="e">
        <f t="shared" si="71"/>
        <v>#VALUE!</v>
      </c>
      <c r="AE146" s="1128">
        <f t="shared" si="72"/>
        <v>0</v>
      </c>
      <c r="AF146" s="1096">
        <f>IF(H146&gt;8,tab!$B$51,tab!$B$54)</f>
        <v>0.5</v>
      </c>
      <c r="AG146" s="1097">
        <f t="shared" si="73"/>
        <v>0</v>
      </c>
      <c r="AH146" s="1093">
        <f t="shared" si="74"/>
        <v>0</v>
      </c>
      <c r="AK146" s="176"/>
    </row>
    <row r="147" spans="3:37" ht="12.75" customHeight="1" x14ac:dyDescent="0.3">
      <c r="C147" s="114"/>
      <c r="D147" s="353" t="str">
        <f>IF(obp!D105=0,"",obp!D105)</f>
        <v/>
      </c>
      <c r="E147" s="388" t="str">
        <f>IF(obp!E105=0,"",obp!E105)</f>
        <v/>
      </c>
      <c r="F147" s="684" t="str">
        <f>IF(obp!F105="","",obp!F105+1)</f>
        <v/>
      </c>
      <c r="G147" s="710" t="str">
        <f>IF(obp!G105="","",obp!G105)</f>
        <v/>
      </c>
      <c r="H147" s="684" t="str">
        <f>IF(obp!H105=0,"",obp!H105)</f>
        <v/>
      </c>
      <c r="I147" s="389" t="str">
        <f>IF(J147="","",(IF(obp!I105+1&gt;LOOKUP(H147,schaal2019,regels2019),obp!I105,obp!I105+1)))</f>
        <v/>
      </c>
      <c r="J147" s="711" t="str">
        <f>IF(obp!J105="","",obp!J105)</f>
        <v/>
      </c>
      <c r="K147" s="370"/>
      <c r="L147" s="1049">
        <f>IF(obp!L105="","",obp!L105)</f>
        <v>0</v>
      </c>
      <c r="M147" s="1049">
        <f>IF(obp!M105="","",obp!M105)</f>
        <v>0</v>
      </c>
      <c r="N147" s="1051" t="str">
        <f t="shared" si="63"/>
        <v/>
      </c>
      <c r="O147" s="1051"/>
      <c r="P147" s="1125" t="str">
        <f t="shared" si="64"/>
        <v/>
      </c>
      <c r="Q147" s="472"/>
      <c r="R147" s="923" t="str">
        <f t="shared" si="75"/>
        <v/>
      </c>
      <c r="S147" s="923" t="str">
        <f t="shared" si="65"/>
        <v/>
      </c>
      <c r="T147" s="925" t="str">
        <f t="shared" si="66"/>
        <v/>
      </c>
      <c r="U147" s="545"/>
      <c r="V147" s="1103"/>
      <c r="W147" s="1103"/>
      <c r="X147" s="1060"/>
      <c r="Y147" s="1095" t="e">
        <f t="shared" si="67"/>
        <v>#VALUE!</v>
      </c>
      <c r="Z147" s="1094">
        <f>tab!B$50</f>
        <v>0.6</v>
      </c>
      <c r="AA147" s="1126" t="e">
        <f t="shared" si="68"/>
        <v>#VALUE!</v>
      </c>
      <c r="AB147" s="1126" t="e">
        <f t="shared" si="69"/>
        <v>#VALUE!</v>
      </c>
      <c r="AC147" s="1126" t="e">
        <f t="shared" si="70"/>
        <v>#VALUE!</v>
      </c>
      <c r="AD147" s="1128" t="e">
        <f t="shared" si="71"/>
        <v>#VALUE!</v>
      </c>
      <c r="AE147" s="1128">
        <f t="shared" si="72"/>
        <v>0</v>
      </c>
      <c r="AF147" s="1096">
        <f>IF(H147&gt;8,tab!$B$51,tab!$B$54)</f>
        <v>0.5</v>
      </c>
      <c r="AG147" s="1097">
        <f t="shared" si="73"/>
        <v>0</v>
      </c>
      <c r="AH147" s="1093">
        <f t="shared" si="74"/>
        <v>0</v>
      </c>
      <c r="AK147" s="176"/>
    </row>
    <row r="148" spans="3:37" ht="12.75" customHeight="1" x14ac:dyDescent="0.3">
      <c r="C148" s="114"/>
      <c r="D148" s="353" t="str">
        <f>IF(obp!D106=0,"",obp!D106)</f>
        <v/>
      </c>
      <c r="E148" s="388" t="str">
        <f>IF(obp!E106=0,"",obp!E106)</f>
        <v/>
      </c>
      <c r="F148" s="684" t="str">
        <f>IF(obp!F106="","",obp!F106+1)</f>
        <v/>
      </c>
      <c r="G148" s="710" t="str">
        <f>IF(obp!G106="","",obp!G106)</f>
        <v/>
      </c>
      <c r="H148" s="684" t="str">
        <f>IF(obp!H106=0,"",obp!H106)</f>
        <v/>
      </c>
      <c r="I148" s="389" t="str">
        <f>IF(J148="","",(IF(obp!I106+1&gt;LOOKUP(H148,schaal2019,regels2019),obp!I106,obp!I106+1)))</f>
        <v/>
      </c>
      <c r="J148" s="711" t="str">
        <f>IF(obp!J106="","",obp!J106)</f>
        <v/>
      </c>
      <c r="K148" s="370"/>
      <c r="L148" s="1049">
        <f>IF(obp!L106="","",obp!L106)</f>
        <v>0</v>
      </c>
      <c r="M148" s="1049">
        <f>IF(obp!M106="","",obp!M106)</f>
        <v>0</v>
      </c>
      <c r="N148" s="1051" t="str">
        <f t="shared" si="63"/>
        <v/>
      </c>
      <c r="O148" s="1051"/>
      <c r="P148" s="1125" t="str">
        <f t="shared" si="64"/>
        <v/>
      </c>
      <c r="Q148" s="472"/>
      <c r="R148" s="923" t="str">
        <f t="shared" si="75"/>
        <v/>
      </c>
      <c r="S148" s="923" t="str">
        <f t="shared" si="65"/>
        <v/>
      </c>
      <c r="T148" s="925" t="str">
        <f t="shared" si="66"/>
        <v/>
      </c>
      <c r="U148" s="545"/>
      <c r="V148" s="1103"/>
      <c r="W148" s="1103"/>
      <c r="X148" s="1060"/>
      <c r="Y148" s="1095" t="e">
        <f t="shared" si="67"/>
        <v>#VALUE!</v>
      </c>
      <c r="Z148" s="1094">
        <f>tab!B$50</f>
        <v>0.6</v>
      </c>
      <c r="AA148" s="1126" t="e">
        <f t="shared" si="68"/>
        <v>#VALUE!</v>
      </c>
      <c r="AB148" s="1126" t="e">
        <f t="shared" si="69"/>
        <v>#VALUE!</v>
      </c>
      <c r="AC148" s="1126" t="e">
        <f t="shared" si="70"/>
        <v>#VALUE!</v>
      </c>
      <c r="AD148" s="1128" t="e">
        <f t="shared" si="71"/>
        <v>#VALUE!</v>
      </c>
      <c r="AE148" s="1128">
        <f t="shared" si="72"/>
        <v>0</v>
      </c>
      <c r="AF148" s="1096">
        <f>IF(H148&gt;8,tab!$B$51,tab!$B$54)</f>
        <v>0.5</v>
      </c>
      <c r="AG148" s="1097">
        <f t="shared" si="73"/>
        <v>0</v>
      </c>
      <c r="AH148" s="1093">
        <f t="shared" si="74"/>
        <v>0</v>
      </c>
      <c r="AK148" s="176"/>
    </row>
    <row r="149" spans="3:37" ht="12.75" customHeight="1" x14ac:dyDescent="0.3">
      <c r="C149" s="114"/>
      <c r="D149" s="353" t="str">
        <f>IF(obp!D107=0,"",obp!D107)</f>
        <v/>
      </c>
      <c r="E149" s="388" t="str">
        <f>IF(obp!E107=0,"",obp!E107)</f>
        <v/>
      </c>
      <c r="F149" s="684" t="str">
        <f>IF(obp!F107="","",obp!F107+1)</f>
        <v/>
      </c>
      <c r="G149" s="710" t="str">
        <f>IF(obp!G107="","",obp!G107)</f>
        <v/>
      </c>
      <c r="H149" s="684" t="str">
        <f>IF(obp!H107=0,"",obp!H107)</f>
        <v/>
      </c>
      <c r="I149" s="389" t="str">
        <f>IF(J149="","",(IF(obp!I107+1&gt;LOOKUP(H149,schaal2019,regels2019),obp!I107,obp!I107+1)))</f>
        <v/>
      </c>
      <c r="J149" s="711" t="str">
        <f>IF(obp!J107="","",obp!J107)</f>
        <v/>
      </c>
      <c r="K149" s="370"/>
      <c r="L149" s="1049">
        <f>IF(obp!L107="","",obp!L107)</f>
        <v>0</v>
      </c>
      <c r="M149" s="1049">
        <f>IF(obp!M107="","",obp!M107)</f>
        <v>0</v>
      </c>
      <c r="N149" s="1051" t="str">
        <f t="shared" si="63"/>
        <v/>
      </c>
      <c r="O149" s="1051"/>
      <c r="P149" s="1125" t="str">
        <f t="shared" si="64"/>
        <v/>
      </c>
      <c r="Q149" s="472"/>
      <c r="R149" s="923" t="str">
        <f t="shared" si="75"/>
        <v/>
      </c>
      <c r="S149" s="923" t="str">
        <f t="shared" si="65"/>
        <v/>
      </c>
      <c r="T149" s="925" t="str">
        <f t="shared" si="66"/>
        <v/>
      </c>
      <c r="U149" s="545"/>
      <c r="V149" s="1103"/>
      <c r="W149" s="1103"/>
      <c r="X149" s="1060"/>
      <c r="Y149" s="1095" t="e">
        <f t="shared" si="67"/>
        <v>#VALUE!</v>
      </c>
      <c r="Z149" s="1094">
        <f>tab!B$50</f>
        <v>0.6</v>
      </c>
      <c r="AA149" s="1126" t="e">
        <f t="shared" si="68"/>
        <v>#VALUE!</v>
      </c>
      <c r="AB149" s="1126" t="e">
        <f t="shared" si="69"/>
        <v>#VALUE!</v>
      </c>
      <c r="AC149" s="1126" t="e">
        <f t="shared" si="70"/>
        <v>#VALUE!</v>
      </c>
      <c r="AD149" s="1128" t="e">
        <f t="shared" si="71"/>
        <v>#VALUE!</v>
      </c>
      <c r="AE149" s="1128">
        <f t="shared" si="72"/>
        <v>0</v>
      </c>
      <c r="AF149" s="1096">
        <f>IF(H149&gt;8,tab!$B$51,tab!$B$54)</f>
        <v>0.5</v>
      </c>
      <c r="AG149" s="1097">
        <f t="shared" si="73"/>
        <v>0</v>
      </c>
      <c r="AH149" s="1093">
        <f t="shared" si="74"/>
        <v>0</v>
      </c>
      <c r="AK149" s="176"/>
    </row>
    <row r="150" spans="3:37" ht="12.75" customHeight="1" x14ac:dyDescent="0.3">
      <c r="C150" s="114"/>
      <c r="D150" s="353" t="str">
        <f>IF(obp!D108=0,"",obp!D108)</f>
        <v/>
      </c>
      <c r="E150" s="388" t="str">
        <f>IF(obp!E108=0,"",obp!E108)</f>
        <v/>
      </c>
      <c r="F150" s="684" t="str">
        <f>IF(obp!F108="","",obp!F108+1)</f>
        <v/>
      </c>
      <c r="G150" s="710" t="str">
        <f>IF(obp!G108="","",obp!G108)</f>
        <v/>
      </c>
      <c r="H150" s="684" t="str">
        <f>IF(obp!H108=0,"",obp!H108)</f>
        <v/>
      </c>
      <c r="I150" s="389" t="str">
        <f>IF(J150="","",(IF(obp!I108+1&gt;LOOKUP(H150,schaal2019,regels2019),obp!I108,obp!I108+1)))</f>
        <v/>
      </c>
      <c r="J150" s="711" t="str">
        <f>IF(obp!J108="","",obp!J108)</f>
        <v/>
      </c>
      <c r="K150" s="370"/>
      <c r="L150" s="1049">
        <f>IF(obp!L108="","",obp!L108)</f>
        <v>0</v>
      </c>
      <c r="M150" s="1049">
        <f>IF(obp!M108="","",obp!M108)</f>
        <v>0</v>
      </c>
      <c r="N150" s="1051" t="str">
        <f t="shared" si="63"/>
        <v/>
      </c>
      <c r="O150" s="1051"/>
      <c r="P150" s="1125" t="str">
        <f t="shared" si="64"/>
        <v/>
      </c>
      <c r="Q150" s="472"/>
      <c r="R150" s="923" t="str">
        <f t="shared" si="75"/>
        <v/>
      </c>
      <c r="S150" s="923" t="str">
        <f t="shared" si="65"/>
        <v/>
      </c>
      <c r="T150" s="925" t="str">
        <f t="shared" si="66"/>
        <v/>
      </c>
      <c r="U150" s="545"/>
      <c r="V150" s="1103"/>
      <c r="W150" s="1103"/>
      <c r="X150" s="1060"/>
      <c r="Y150" s="1095" t="e">
        <f t="shared" si="67"/>
        <v>#VALUE!</v>
      </c>
      <c r="Z150" s="1094">
        <f>tab!B$50</f>
        <v>0.6</v>
      </c>
      <c r="AA150" s="1126" t="e">
        <f t="shared" si="68"/>
        <v>#VALUE!</v>
      </c>
      <c r="AB150" s="1126" t="e">
        <f t="shared" si="69"/>
        <v>#VALUE!</v>
      </c>
      <c r="AC150" s="1126" t="e">
        <f t="shared" si="70"/>
        <v>#VALUE!</v>
      </c>
      <c r="AD150" s="1128" t="e">
        <f t="shared" si="71"/>
        <v>#VALUE!</v>
      </c>
      <c r="AE150" s="1128">
        <f t="shared" si="72"/>
        <v>0</v>
      </c>
      <c r="AF150" s="1096">
        <f>IF(H150&gt;8,tab!$B$51,tab!$B$54)</f>
        <v>0.5</v>
      </c>
      <c r="AG150" s="1097">
        <f t="shared" si="73"/>
        <v>0</v>
      </c>
      <c r="AH150" s="1093">
        <f t="shared" si="74"/>
        <v>0</v>
      </c>
      <c r="AK150" s="176"/>
    </row>
    <row r="151" spans="3:37" ht="12.75" customHeight="1" x14ac:dyDescent="0.3">
      <c r="C151" s="114"/>
      <c r="D151" s="353" t="str">
        <f>IF(obp!D109=0,"",obp!D109)</f>
        <v/>
      </c>
      <c r="E151" s="388" t="str">
        <f>IF(obp!E109=0,"",obp!E109)</f>
        <v/>
      </c>
      <c r="F151" s="684" t="str">
        <f>IF(obp!F109="","",obp!F109+1)</f>
        <v/>
      </c>
      <c r="G151" s="710" t="str">
        <f>IF(obp!G109="","",obp!G109)</f>
        <v/>
      </c>
      <c r="H151" s="684" t="str">
        <f>IF(obp!H109=0,"",obp!H109)</f>
        <v/>
      </c>
      <c r="I151" s="389" t="str">
        <f>IF(J151="","",(IF(obp!I109+1&gt;LOOKUP(H151,schaal2019,regels2019),obp!I109,obp!I109+1)))</f>
        <v/>
      </c>
      <c r="J151" s="711" t="str">
        <f>IF(obp!J109="","",obp!J109)</f>
        <v/>
      </c>
      <c r="K151" s="370"/>
      <c r="L151" s="1049">
        <f>IF(obp!L109="","",obp!L109)</f>
        <v>0</v>
      </c>
      <c r="M151" s="1049">
        <f>IF(obp!M109="","",obp!M109)</f>
        <v>0</v>
      </c>
      <c r="N151" s="1051" t="str">
        <f t="shared" si="63"/>
        <v/>
      </c>
      <c r="O151" s="1051"/>
      <c r="P151" s="1125" t="str">
        <f t="shared" si="64"/>
        <v/>
      </c>
      <c r="Q151" s="472"/>
      <c r="R151" s="923" t="str">
        <f t="shared" si="75"/>
        <v/>
      </c>
      <c r="S151" s="923" t="str">
        <f t="shared" si="65"/>
        <v/>
      </c>
      <c r="T151" s="925" t="str">
        <f t="shared" si="66"/>
        <v/>
      </c>
      <c r="U151" s="545"/>
      <c r="V151" s="1103"/>
      <c r="W151" s="1103"/>
      <c r="X151" s="1060"/>
      <c r="Y151" s="1095" t="e">
        <f t="shared" si="67"/>
        <v>#VALUE!</v>
      </c>
      <c r="Z151" s="1094">
        <f>tab!B$50</f>
        <v>0.6</v>
      </c>
      <c r="AA151" s="1126" t="e">
        <f t="shared" si="68"/>
        <v>#VALUE!</v>
      </c>
      <c r="AB151" s="1126" t="e">
        <f t="shared" si="69"/>
        <v>#VALUE!</v>
      </c>
      <c r="AC151" s="1126" t="e">
        <f t="shared" si="70"/>
        <v>#VALUE!</v>
      </c>
      <c r="AD151" s="1128" t="e">
        <f t="shared" si="71"/>
        <v>#VALUE!</v>
      </c>
      <c r="AE151" s="1128">
        <f t="shared" si="72"/>
        <v>0</v>
      </c>
      <c r="AF151" s="1096">
        <f>IF(H151&gt;8,tab!$B$51,tab!$B$54)</f>
        <v>0.5</v>
      </c>
      <c r="AG151" s="1097">
        <f t="shared" si="73"/>
        <v>0</v>
      </c>
      <c r="AH151" s="1093">
        <f t="shared" si="74"/>
        <v>0</v>
      </c>
      <c r="AK151" s="176"/>
    </row>
    <row r="152" spans="3:37" ht="12.75" customHeight="1" x14ac:dyDescent="0.3">
      <c r="C152" s="114"/>
      <c r="D152" s="353" t="str">
        <f>IF(obp!D110=0,"",obp!D110)</f>
        <v/>
      </c>
      <c r="E152" s="388" t="str">
        <f>IF(obp!E110=0,"",obp!E110)</f>
        <v/>
      </c>
      <c r="F152" s="684" t="str">
        <f>IF(obp!F110="","",obp!F110+1)</f>
        <v/>
      </c>
      <c r="G152" s="710" t="str">
        <f>IF(obp!G110="","",obp!G110)</f>
        <v/>
      </c>
      <c r="H152" s="684" t="str">
        <f>IF(obp!H110=0,"",obp!H110)</f>
        <v/>
      </c>
      <c r="I152" s="389" t="str">
        <f>IF(J152="","",(IF(obp!I110+1&gt;LOOKUP(H152,schaal2019,regels2019),obp!I110,obp!I110+1)))</f>
        <v/>
      </c>
      <c r="J152" s="711" t="str">
        <f>IF(obp!J110="","",obp!J110)</f>
        <v/>
      </c>
      <c r="K152" s="370"/>
      <c r="L152" s="1049">
        <f>IF(obp!L110="","",obp!L110)</f>
        <v>0</v>
      </c>
      <c r="M152" s="1049">
        <f>IF(obp!M110="","",obp!M110)</f>
        <v>0</v>
      </c>
      <c r="N152" s="1051" t="str">
        <f t="shared" si="63"/>
        <v/>
      </c>
      <c r="O152" s="1051"/>
      <c r="P152" s="1125" t="str">
        <f t="shared" si="64"/>
        <v/>
      </c>
      <c r="Q152" s="472"/>
      <c r="R152" s="923" t="str">
        <f t="shared" si="75"/>
        <v/>
      </c>
      <c r="S152" s="923" t="str">
        <f t="shared" si="65"/>
        <v/>
      </c>
      <c r="T152" s="925" t="str">
        <f t="shared" si="66"/>
        <v/>
      </c>
      <c r="U152" s="545"/>
      <c r="V152" s="1103"/>
      <c r="W152" s="1103"/>
      <c r="X152" s="1060"/>
      <c r="Y152" s="1095" t="e">
        <f t="shared" si="67"/>
        <v>#VALUE!</v>
      </c>
      <c r="Z152" s="1094">
        <f>tab!B$50</f>
        <v>0.6</v>
      </c>
      <c r="AA152" s="1126" t="e">
        <f t="shared" si="68"/>
        <v>#VALUE!</v>
      </c>
      <c r="AB152" s="1126" t="e">
        <f t="shared" si="69"/>
        <v>#VALUE!</v>
      </c>
      <c r="AC152" s="1126" t="e">
        <f t="shared" si="70"/>
        <v>#VALUE!</v>
      </c>
      <c r="AD152" s="1128" t="e">
        <f t="shared" si="71"/>
        <v>#VALUE!</v>
      </c>
      <c r="AE152" s="1128">
        <f t="shared" si="72"/>
        <v>0</v>
      </c>
      <c r="AF152" s="1096">
        <f>IF(H152&gt;8,tab!$B$51,tab!$B$54)</f>
        <v>0.5</v>
      </c>
      <c r="AG152" s="1097">
        <f t="shared" si="73"/>
        <v>0</v>
      </c>
      <c r="AH152" s="1093">
        <f t="shared" si="74"/>
        <v>0</v>
      </c>
      <c r="AK152" s="176"/>
    </row>
    <row r="153" spans="3:37" ht="12.75" customHeight="1" x14ac:dyDescent="0.3">
      <c r="C153" s="114"/>
      <c r="D153" s="353" t="str">
        <f>IF(obp!D111=0,"",obp!D111)</f>
        <v/>
      </c>
      <c r="E153" s="388" t="str">
        <f>IF(obp!E111=0,"",obp!E111)</f>
        <v/>
      </c>
      <c r="F153" s="684" t="str">
        <f>IF(obp!F111="","",obp!F111+1)</f>
        <v/>
      </c>
      <c r="G153" s="710" t="str">
        <f>IF(obp!G111="","",obp!G111)</f>
        <v/>
      </c>
      <c r="H153" s="684" t="str">
        <f>IF(obp!H111=0,"",obp!H111)</f>
        <v/>
      </c>
      <c r="I153" s="389" t="str">
        <f>IF(J153="","",(IF(obp!I111+1&gt;LOOKUP(H153,schaal2019,regels2019),obp!I111,obp!I111+1)))</f>
        <v/>
      </c>
      <c r="J153" s="711" t="str">
        <f>IF(obp!J111="","",obp!J111)</f>
        <v/>
      </c>
      <c r="K153" s="370"/>
      <c r="L153" s="1049">
        <f>IF(obp!L111="","",obp!L111)</f>
        <v>0</v>
      </c>
      <c r="M153" s="1049">
        <f>IF(obp!M111="","",obp!M111)</f>
        <v>0</v>
      </c>
      <c r="N153" s="1051" t="str">
        <f t="shared" si="63"/>
        <v/>
      </c>
      <c r="O153" s="1051"/>
      <c r="P153" s="1125" t="str">
        <f t="shared" si="64"/>
        <v/>
      </c>
      <c r="Q153" s="472"/>
      <c r="R153" s="923" t="str">
        <f t="shared" si="75"/>
        <v/>
      </c>
      <c r="S153" s="923" t="str">
        <f t="shared" si="65"/>
        <v/>
      </c>
      <c r="T153" s="925" t="str">
        <f t="shared" si="66"/>
        <v/>
      </c>
      <c r="U153" s="545"/>
      <c r="V153" s="1103"/>
      <c r="W153" s="1103"/>
      <c r="X153" s="1060"/>
      <c r="Y153" s="1095" t="e">
        <f t="shared" si="67"/>
        <v>#VALUE!</v>
      </c>
      <c r="Z153" s="1094">
        <f>tab!B$50</f>
        <v>0.6</v>
      </c>
      <c r="AA153" s="1126" t="e">
        <f t="shared" si="68"/>
        <v>#VALUE!</v>
      </c>
      <c r="AB153" s="1126" t="e">
        <f t="shared" si="69"/>
        <v>#VALUE!</v>
      </c>
      <c r="AC153" s="1126" t="e">
        <f t="shared" si="70"/>
        <v>#VALUE!</v>
      </c>
      <c r="AD153" s="1128" t="e">
        <f t="shared" si="71"/>
        <v>#VALUE!</v>
      </c>
      <c r="AE153" s="1128">
        <f t="shared" si="72"/>
        <v>0</v>
      </c>
      <c r="AF153" s="1096">
        <f>IF(H153&gt;8,tab!$B$51,tab!$B$54)</f>
        <v>0.5</v>
      </c>
      <c r="AG153" s="1097">
        <f t="shared" si="73"/>
        <v>0</v>
      </c>
      <c r="AH153" s="1093">
        <f t="shared" si="74"/>
        <v>0</v>
      </c>
      <c r="AK153" s="176"/>
    </row>
    <row r="154" spans="3:37" ht="12.75" customHeight="1" x14ac:dyDescent="0.3">
      <c r="C154" s="114"/>
      <c r="D154" s="353" t="str">
        <f>IF(obp!D112=0,"",obp!D112)</f>
        <v/>
      </c>
      <c r="E154" s="388" t="str">
        <f>IF(obp!E112=0,"",obp!E112)</f>
        <v/>
      </c>
      <c r="F154" s="684" t="str">
        <f>IF(obp!F112="","",obp!F112+1)</f>
        <v/>
      </c>
      <c r="G154" s="710" t="str">
        <f>IF(obp!G112="","",obp!G112)</f>
        <v/>
      </c>
      <c r="H154" s="684" t="str">
        <f>IF(obp!H112=0,"",obp!H112)</f>
        <v/>
      </c>
      <c r="I154" s="389" t="str">
        <f>IF(J154="","",(IF(obp!I112+1&gt;LOOKUP(H154,schaal2019,regels2019),obp!I112,obp!I112+1)))</f>
        <v/>
      </c>
      <c r="J154" s="711" t="str">
        <f>IF(obp!J112="","",obp!J112)</f>
        <v/>
      </c>
      <c r="K154" s="370"/>
      <c r="L154" s="1049">
        <f>IF(obp!L112="","",obp!L112)</f>
        <v>0</v>
      </c>
      <c r="M154" s="1049">
        <f>IF(obp!M112="","",obp!M112)</f>
        <v>0</v>
      </c>
      <c r="N154" s="1051" t="str">
        <f t="shared" si="63"/>
        <v/>
      </c>
      <c r="O154" s="1051"/>
      <c r="P154" s="1125" t="str">
        <f t="shared" si="64"/>
        <v/>
      </c>
      <c r="Q154" s="472"/>
      <c r="R154" s="923" t="str">
        <f t="shared" si="75"/>
        <v/>
      </c>
      <c r="S154" s="923" t="str">
        <f t="shared" si="65"/>
        <v/>
      </c>
      <c r="T154" s="925" t="str">
        <f t="shared" si="66"/>
        <v/>
      </c>
      <c r="U154" s="545"/>
      <c r="V154" s="1103"/>
      <c r="W154" s="1103"/>
      <c r="X154" s="1060"/>
      <c r="Y154" s="1095" t="e">
        <f t="shared" si="67"/>
        <v>#VALUE!</v>
      </c>
      <c r="Z154" s="1094">
        <f>tab!B$50</f>
        <v>0.6</v>
      </c>
      <c r="AA154" s="1126" t="e">
        <f t="shared" si="68"/>
        <v>#VALUE!</v>
      </c>
      <c r="AB154" s="1126" t="e">
        <f t="shared" si="69"/>
        <v>#VALUE!</v>
      </c>
      <c r="AC154" s="1126" t="e">
        <f t="shared" si="70"/>
        <v>#VALUE!</v>
      </c>
      <c r="AD154" s="1128" t="e">
        <f t="shared" si="71"/>
        <v>#VALUE!</v>
      </c>
      <c r="AE154" s="1128">
        <f t="shared" si="72"/>
        <v>0</v>
      </c>
      <c r="AF154" s="1096">
        <f>IF(H154&gt;8,tab!$B$51,tab!$B$54)</f>
        <v>0.5</v>
      </c>
      <c r="AG154" s="1097">
        <f t="shared" si="73"/>
        <v>0</v>
      </c>
      <c r="AH154" s="1093">
        <f t="shared" si="74"/>
        <v>0</v>
      </c>
      <c r="AK154" s="176"/>
    </row>
    <row r="155" spans="3:37" ht="12.75" customHeight="1" x14ac:dyDescent="0.3">
      <c r="C155" s="114"/>
      <c r="D155" s="353" t="str">
        <f>IF(obp!D113=0,"",obp!D113)</f>
        <v/>
      </c>
      <c r="E155" s="388" t="str">
        <f>IF(obp!E113=0,"",obp!E113)</f>
        <v/>
      </c>
      <c r="F155" s="684" t="str">
        <f>IF(obp!F113="","",obp!F113+1)</f>
        <v/>
      </c>
      <c r="G155" s="710" t="str">
        <f>IF(obp!G113="","",obp!G113)</f>
        <v/>
      </c>
      <c r="H155" s="684" t="str">
        <f>IF(obp!H113=0,"",obp!H113)</f>
        <v/>
      </c>
      <c r="I155" s="389" t="str">
        <f>IF(J155="","",(IF(obp!I113+1&gt;LOOKUP(H155,schaal2019,regels2019),obp!I113,obp!I113+1)))</f>
        <v/>
      </c>
      <c r="J155" s="711" t="str">
        <f>IF(obp!J113="","",obp!J113)</f>
        <v/>
      </c>
      <c r="K155" s="370"/>
      <c r="L155" s="1049">
        <f>IF(obp!L113="","",obp!L113)</f>
        <v>0</v>
      </c>
      <c r="M155" s="1049">
        <f>IF(obp!M113="","",obp!M113)</f>
        <v>0</v>
      </c>
      <c r="N155" s="1051" t="str">
        <f t="shared" si="63"/>
        <v/>
      </c>
      <c r="O155" s="1051"/>
      <c r="P155" s="1125" t="str">
        <f t="shared" si="64"/>
        <v/>
      </c>
      <c r="Q155" s="472"/>
      <c r="R155" s="923" t="str">
        <f t="shared" si="75"/>
        <v/>
      </c>
      <c r="S155" s="923" t="str">
        <f t="shared" si="65"/>
        <v/>
      </c>
      <c r="T155" s="925" t="str">
        <f t="shared" si="66"/>
        <v/>
      </c>
      <c r="U155" s="545"/>
      <c r="V155" s="1103"/>
      <c r="W155" s="1103"/>
      <c r="X155" s="1060"/>
      <c r="Y155" s="1095" t="e">
        <f t="shared" si="67"/>
        <v>#VALUE!</v>
      </c>
      <c r="Z155" s="1094">
        <f>tab!B$50</f>
        <v>0.6</v>
      </c>
      <c r="AA155" s="1126" t="e">
        <f t="shared" si="68"/>
        <v>#VALUE!</v>
      </c>
      <c r="AB155" s="1126" t="e">
        <f t="shared" si="69"/>
        <v>#VALUE!</v>
      </c>
      <c r="AC155" s="1126" t="e">
        <f t="shared" si="70"/>
        <v>#VALUE!</v>
      </c>
      <c r="AD155" s="1128" t="e">
        <f t="shared" si="71"/>
        <v>#VALUE!</v>
      </c>
      <c r="AE155" s="1128">
        <f t="shared" si="72"/>
        <v>0</v>
      </c>
      <c r="AF155" s="1096">
        <f>IF(H155&gt;8,tab!$B$51,tab!$B$54)</f>
        <v>0.5</v>
      </c>
      <c r="AG155" s="1097">
        <f t="shared" si="73"/>
        <v>0</v>
      </c>
      <c r="AH155" s="1093">
        <f t="shared" si="74"/>
        <v>0</v>
      </c>
      <c r="AK155" s="176"/>
    </row>
    <row r="156" spans="3:37" ht="12.75" customHeight="1" x14ac:dyDescent="0.3">
      <c r="C156" s="114"/>
      <c r="D156" s="353" t="str">
        <f>IF(obp!D114=0,"",obp!D114)</f>
        <v/>
      </c>
      <c r="E156" s="388" t="str">
        <f>IF(obp!E114=0,"",obp!E114)</f>
        <v/>
      </c>
      <c r="F156" s="684" t="str">
        <f>IF(obp!F114="","",obp!F114+1)</f>
        <v/>
      </c>
      <c r="G156" s="710" t="str">
        <f>IF(obp!G114="","",obp!G114)</f>
        <v/>
      </c>
      <c r="H156" s="684" t="str">
        <f>IF(obp!H114=0,"",obp!H114)</f>
        <v/>
      </c>
      <c r="I156" s="389" t="str">
        <f>IF(J156="","",(IF(obp!I114+1&gt;LOOKUP(H156,schaal2019,regels2019),obp!I114,obp!I114+1)))</f>
        <v/>
      </c>
      <c r="J156" s="711" t="str">
        <f>IF(obp!J114="","",obp!J114)</f>
        <v/>
      </c>
      <c r="K156" s="370"/>
      <c r="L156" s="1049">
        <f>IF(obp!L114="","",obp!L114)</f>
        <v>0</v>
      </c>
      <c r="M156" s="1049">
        <f>IF(obp!M114="","",obp!M114)</f>
        <v>0</v>
      </c>
      <c r="N156" s="1051" t="str">
        <f t="shared" si="63"/>
        <v/>
      </c>
      <c r="O156" s="1051"/>
      <c r="P156" s="1125" t="str">
        <f t="shared" si="64"/>
        <v/>
      </c>
      <c r="Q156" s="472"/>
      <c r="R156" s="923" t="str">
        <f t="shared" si="75"/>
        <v/>
      </c>
      <c r="S156" s="923" t="str">
        <f t="shared" si="65"/>
        <v/>
      </c>
      <c r="T156" s="925" t="str">
        <f t="shared" si="66"/>
        <v/>
      </c>
      <c r="U156" s="545"/>
      <c r="V156" s="1103"/>
      <c r="W156" s="1103"/>
      <c r="X156" s="1060"/>
      <c r="Y156" s="1095" t="e">
        <f t="shared" si="67"/>
        <v>#VALUE!</v>
      </c>
      <c r="Z156" s="1094">
        <f>tab!B$50</f>
        <v>0.6</v>
      </c>
      <c r="AA156" s="1126" t="e">
        <f t="shared" si="68"/>
        <v>#VALUE!</v>
      </c>
      <c r="AB156" s="1126" t="e">
        <f t="shared" si="69"/>
        <v>#VALUE!</v>
      </c>
      <c r="AC156" s="1126" t="e">
        <f t="shared" si="70"/>
        <v>#VALUE!</v>
      </c>
      <c r="AD156" s="1128" t="e">
        <f t="shared" si="71"/>
        <v>#VALUE!</v>
      </c>
      <c r="AE156" s="1128">
        <f t="shared" si="72"/>
        <v>0</v>
      </c>
      <c r="AF156" s="1096">
        <f>IF(H156&gt;8,tab!$B$51,tab!$B$54)</f>
        <v>0.5</v>
      </c>
      <c r="AG156" s="1097">
        <f t="shared" si="73"/>
        <v>0</v>
      </c>
      <c r="AH156" s="1093">
        <f t="shared" si="74"/>
        <v>0</v>
      </c>
      <c r="AK156" s="176"/>
    </row>
    <row r="157" spans="3:37" ht="12.75" customHeight="1" x14ac:dyDescent="0.3">
      <c r="C157" s="114"/>
      <c r="D157" s="353" t="str">
        <f>IF(obp!D115=0,"",obp!D115)</f>
        <v/>
      </c>
      <c r="E157" s="388" t="str">
        <f>IF(obp!E115=0,"",obp!E115)</f>
        <v/>
      </c>
      <c r="F157" s="684" t="str">
        <f>IF(obp!F115="","",obp!F115+1)</f>
        <v/>
      </c>
      <c r="G157" s="710" t="str">
        <f>IF(obp!G115="","",obp!G115)</f>
        <v/>
      </c>
      <c r="H157" s="684" t="str">
        <f>IF(obp!H115=0,"",obp!H115)</f>
        <v/>
      </c>
      <c r="I157" s="389" t="str">
        <f>IF(J157="","",(IF(obp!I115+1&gt;LOOKUP(H157,schaal2019,regels2019),obp!I115,obp!I115+1)))</f>
        <v/>
      </c>
      <c r="J157" s="711" t="str">
        <f>IF(obp!J115="","",obp!J115)</f>
        <v/>
      </c>
      <c r="K157" s="370"/>
      <c r="L157" s="1049">
        <f>IF(obp!L115="","",obp!L115)</f>
        <v>0</v>
      </c>
      <c r="M157" s="1049">
        <f>IF(obp!M115="","",obp!M115)</f>
        <v>0</v>
      </c>
      <c r="N157" s="1051" t="str">
        <f t="shared" si="63"/>
        <v/>
      </c>
      <c r="O157" s="1051"/>
      <c r="P157" s="1125" t="str">
        <f t="shared" si="64"/>
        <v/>
      </c>
      <c r="Q157" s="472"/>
      <c r="R157" s="923" t="str">
        <f t="shared" si="75"/>
        <v/>
      </c>
      <c r="S157" s="923" t="str">
        <f t="shared" si="65"/>
        <v/>
      </c>
      <c r="T157" s="925" t="str">
        <f t="shared" si="66"/>
        <v/>
      </c>
      <c r="U157" s="545"/>
      <c r="V157" s="1103"/>
      <c r="W157" s="1103"/>
      <c r="X157" s="1060"/>
      <c r="Y157" s="1095" t="e">
        <f t="shared" si="67"/>
        <v>#VALUE!</v>
      </c>
      <c r="Z157" s="1094">
        <f>tab!B$50</f>
        <v>0.6</v>
      </c>
      <c r="AA157" s="1126" t="e">
        <f t="shared" si="68"/>
        <v>#VALUE!</v>
      </c>
      <c r="AB157" s="1126" t="e">
        <f t="shared" si="69"/>
        <v>#VALUE!</v>
      </c>
      <c r="AC157" s="1126" t="e">
        <f t="shared" si="70"/>
        <v>#VALUE!</v>
      </c>
      <c r="AD157" s="1128" t="e">
        <f t="shared" si="71"/>
        <v>#VALUE!</v>
      </c>
      <c r="AE157" s="1128">
        <f t="shared" si="72"/>
        <v>0</v>
      </c>
      <c r="AF157" s="1096">
        <f>IF(H157&gt;8,tab!$B$51,tab!$B$54)</f>
        <v>0.5</v>
      </c>
      <c r="AG157" s="1097">
        <f t="shared" si="73"/>
        <v>0</v>
      </c>
      <c r="AH157" s="1093">
        <f t="shared" si="74"/>
        <v>0</v>
      </c>
      <c r="AK157" s="176"/>
    </row>
    <row r="158" spans="3:37" ht="12.75" customHeight="1" x14ac:dyDescent="0.3">
      <c r="C158" s="114"/>
      <c r="D158" s="353" t="str">
        <f>IF(obp!D116=0,"",obp!D116)</f>
        <v/>
      </c>
      <c r="E158" s="388" t="str">
        <f>IF(obp!E116=0,"",obp!E116)</f>
        <v/>
      </c>
      <c r="F158" s="684" t="str">
        <f>IF(obp!F116="","",obp!F116+1)</f>
        <v/>
      </c>
      <c r="G158" s="710" t="str">
        <f>IF(obp!G116="","",obp!G116)</f>
        <v/>
      </c>
      <c r="H158" s="684" t="str">
        <f>IF(obp!H116=0,"",obp!H116)</f>
        <v/>
      </c>
      <c r="I158" s="389" t="str">
        <f>IF(J158="","",(IF(obp!I116+1&gt;LOOKUP(H158,schaal2019,regels2019),obp!I116,obp!I116+1)))</f>
        <v/>
      </c>
      <c r="J158" s="711" t="str">
        <f>IF(obp!J116="","",obp!J116)</f>
        <v/>
      </c>
      <c r="K158" s="370"/>
      <c r="L158" s="1049">
        <f>IF(obp!L116="","",obp!L116)</f>
        <v>0</v>
      </c>
      <c r="M158" s="1049">
        <f>IF(obp!M116="","",obp!M116)</f>
        <v>0</v>
      </c>
      <c r="N158" s="1051" t="str">
        <f t="shared" si="63"/>
        <v/>
      </c>
      <c r="O158" s="1051"/>
      <c r="P158" s="1125" t="str">
        <f t="shared" si="64"/>
        <v/>
      </c>
      <c r="Q158" s="472"/>
      <c r="R158" s="923" t="str">
        <f t="shared" si="75"/>
        <v/>
      </c>
      <c r="S158" s="923" t="str">
        <f t="shared" si="65"/>
        <v/>
      </c>
      <c r="T158" s="925" t="str">
        <f t="shared" si="66"/>
        <v/>
      </c>
      <c r="U158" s="545"/>
      <c r="V158" s="1103"/>
      <c r="W158" s="1103"/>
      <c r="X158" s="1060"/>
      <c r="Y158" s="1095" t="e">
        <f t="shared" si="67"/>
        <v>#VALUE!</v>
      </c>
      <c r="Z158" s="1094">
        <f>tab!B$50</f>
        <v>0.6</v>
      </c>
      <c r="AA158" s="1126" t="e">
        <f t="shared" si="68"/>
        <v>#VALUE!</v>
      </c>
      <c r="AB158" s="1126" t="e">
        <f t="shared" si="69"/>
        <v>#VALUE!</v>
      </c>
      <c r="AC158" s="1126" t="e">
        <f t="shared" si="70"/>
        <v>#VALUE!</v>
      </c>
      <c r="AD158" s="1128" t="e">
        <f t="shared" si="71"/>
        <v>#VALUE!</v>
      </c>
      <c r="AE158" s="1128">
        <f t="shared" si="72"/>
        <v>0</v>
      </c>
      <c r="AF158" s="1096">
        <f>IF(H158&gt;8,tab!$B$51,tab!$B$54)</f>
        <v>0.5</v>
      </c>
      <c r="AG158" s="1097">
        <f t="shared" si="73"/>
        <v>0</v>
      </c>
      <c r="AH158" s="1093">
        <f t="shared" si="74"/>
        <v>0</v>
      </c>
      <c r="AK158" s="176"/>
    </row>
    <row r="159" spans="3:37" ht="12.75" customHeight="1" x14ac:dyDescent="0.3">
      <c r="C159" s="114"/>
      <c r="D159" s="353" t="str">
        <f>IF(obp!D117=0,"",obp!D117)</f>
        <v/>
      </c>
      <c r="E159" s="388" t="str">
        <f>IF(obp!E117=0,"",obp!E117)</f>
        <v/>
      </c>
      <c r="F159" s="684" t="str">
        <f>IF(obp!F117="","",obp!F117+1)</f>
        <v/>
      </c>
      <c r="G159" s="710" t="str">
        <f>IF(obp!G117="","",obp!G117)</f>
        <v/>
      </c>
      <c r="H159" s="684" t="str">
        <f>IF(obp!H117=0,"",obp!H117)</f>
        <v/>
      </c>
      <c r="I159" s="389" t="str">
        <f>IF(J159="","",(IF(obp!I117+1&gt;LOOKUP(H159,schaal2019,regels2019),obp!I117,obp!I117+1)))</f>
        <v/>
      </c>
      <c r="J159" s="711" t="str">
        <f>IF(obp!J117="","",obp!J117)</f>
        <v/>
      </c>
      <c r="K159" s="370"/>
      <c r="L159" s="1049">
        <f>IF(obp!L117="","",obp!L117)</f>
        <v>0</v>
      </c>
      <c r="M159" s="1049">
        <f>IF(obp!M117="","",obp!M117)</f>
        <v>0</v>
      </c>
      <c r="N159" s="1051" t="str">
        <f t="shared" si="63"/>
        <v/>
      </c>
      <c r="O159" s="1051"/>
      <c r="P159" s="1125" t="str">
        <f t="shared" si="64"/>
        <v/>
      </c>
      <c r="Q159" s="472"/>
      <c r="R159" s="923" t="str">
        <f t="shared" si="75"/>
        <v/>
      </c>
      <c r="S159" s="923" t="str">
        <f t="shared" si="65"/>
        <v/>
      </c>
      <c r="T159" s="925" t="str">
        <f t="shared" si="66"/>
        <v/>
      </c>
      <c r="U159" s="545"/>
      <c r="V159" s="1103"/>
      <c r="W159" s="1103"/>
      <c r="X159" s="1060"/>
      <c r="Y159" s="1095" t="e">
        <f t="shared" si="67"/>
        <v>#VALUE!</v>
      </c>
      <c r="Z159" s="1094">
        <f>tab!B$50</f>
        <v>0.6</v>
      </c>
      <c r="AA159" s="1126" t="e">
        <f t="shared" si="68"/>
        <v>#VALUE!</v>
      </c>
      <c r="AB159" s="1126" t="e">
        <f t="shared" si="69"/>
        <v>#VALUE!</v>
      </c>
      <c r="AC159" s="1126" t="e">
        <f t="shared" si="70"/>
        <v>#VALUE!</v>
      </c>
      <c r="AD159" s="1128" t="e">
        <f t="shared" si="71"/>
        <v>#VALUE!</v>
      </c>
      <c r="AE159" s="1128">
        <f t="shared" si="72"/>
        <v>0</v>
      </c>
      <c r="AF159" s="1096">
        <f>IF(H159&gt;8,tab!$B$51,tab!$B$54)</f>
        <v>0.5</v>
      </c>
      <c r="AG159" s="1097">
        <f t="shared" si="73"/>
        <v>0</v>
      </c>
      <c r="AH159" s="1093">
        <f t="shared" si="74"/>
        <v>0</v>
      </c>
      <c r="AK159" s="176"/>
    </row>
    <row r="160" spans="3:37" ht="12.75" customHeight="1" x14ac:dyDescent="0.3">
      <c r="C160" s="114"/>
      <c r="D160" s="353" t="str">
        <f>IF(obp!D118=0,"",obp!D118)</f>
        <v/>
      </c>
      <c r="E160" s="388" t="str">
        <f>IF(obp!E118=0,"",obp!E118)</f>
        <v/>
      </c>
      <c r="F160" s="684" t="str">
        <f>IF(obp!F118="","",obp!F118+1)</f>
        <v/>
      </c>
      <c r="G160" s="710" t="str">
        <f>IF(obp!G118="","",obp!G118)</f>
        <v/>
      </c>
      <c r="H160" s="684" t="str">
        <f>IF(obp!H118=0,"",obp!H118)</f>
        <v/>
      </c>
      <c r="I160" s="389" t="str">
        <f>IF(J160="","",(IF(obp!I118+1&gt;LOOKUP(H160,schaal2019,regels2019),obp!I118,obp!I118+1)))</f>
        <v/>
      </c>
      <c r="J160" s="711" t="str">
        <f>IF(obp!J118="","",obp!J118)</f>
        <v/>
      </c>
      <c r="K160" s="370"/>
      <c r="L160" s="1049">
        <f>IF(obp!L118="","",obp!L118)</f>
        <v>0</v>
      </c>
      <c r="M160" s="1049">
        <f>IF(obp!M118="","",obp!M118)</f>
        <v>0</v>
      </c>
      <c r="N160" s="1051" t="str">
        <f t="shared" si="63"/>
        <v/>
      </c>
      <c r="O160" s="1051"/>
      <c r="P160" s="1125" t="str">
        <f t="shared" si="64"/>
        <v/>
      </c>
      <c r="Q160" s="472"/>
      <c r="R160" s="923" t="str">
        <f t="shared" si="75"/>
        <v/>
      </c>
      <c r="S160" s="923" t="str">
        <f t="shared" si="65"/>
        <v/>
      </c>
      <c r="T160" s="925" t="str">
        <f t="shared" si="66"/>
        <v/>
      </c>
      <c r="U160" s="545"/>
      <c r="V160" s="1103"/>
      <c r="W160" s="1103"/>
      <c r="X160" s="1060"/>
      <c r="Y160" s="1095" t="e">
        <f t="shared" si="67"/>
        <v>#VALUE!</v>
      </c>
      <c r="Z160" s="1094">
        <f>tab!B$50</f>
        <v>0.6</v>
      </c>
      <c r="AA160" s="1126" t="e">
        <f t="shared" si="68"/>
        <v>#VALUE!</v>
      </c>
      <c r="AB160" s="1126" t="e">
        <f t="shared" si="69"/>
        <v>#VALUE!</v>
      </c>
      <c r="AC160" s="1126" t="e">
        <f t="shared" si="70"/>
        <v>#VALUE!</v>
      </c>
      <c r="AD160" s="1128" t="e">
        <f t="shared" si="71"/>
        <v>#VALUE!</v>
      </c>
      <c r="AE160" s="1128">
        <f t="shared" si="72"/>
        <v>0</v>
      </c>
      <c r="AF160" s="1096">
        <f>IF(H160&gt;8,tab!$B$51,tab!$B$54)</f>
        <v>0.5</v>
      </c>
      <c r="AG160" s="1097">
        <f t="shared" si="73"/>
        <v>0</v>
      </c>
      <c r="AH160" s="1093">
        <f t="shared" si="74"/>
        <v>0</v>
      </c>
      <c r="AK160" s="176"/>
    </row>
    <row r="161" spans="3:37" ht="12.75" customHeight="1" x14ac:dyDescent="0.3">
      <c r="C161" s="114"/>
      <c r="D161" s="353" t="str">
        <f>IF(obp!D119=0,"",obp!D119)</f>
        <v/>
      </c>
      <c r="E161" s="388" t="str">
        <f>IF(obp!E119=0,"",obp!E119)</f>
        <v/>
      </c>
      <c r="F161" s="684" t="str">
        <f>IF(obp!F119="","",obp!F119+1)</f>
        <v/>
      </c>
      <c r="G161" s="710" t="str">
        <f>IF(obp!G119="","",obp!G119)</f>
        <v/>
      </c>
      <c r="H161" s="684" t="str">
        <f>IF(obp!H119=0,"",obp!H119)</f>
        <v/>
      </c>
      <c r="I161" s="389" t="str">
        <f>IF(J161="","",(IF(obp!I119+1&gt;LOOKUP(H161,schaal2019,regels2019),obp!I119,obp!I119+1)))</f>
        <v/>
      </c>
      <c r="J161" s="711" t="str">
        <f>IF(obp!J119="","",obp!J119)</f>
        <v/>
      </c>
      <c r="K161" s="370"/>
      <c r="L161" s="1049">
        <f>IF(obp!L119="","",obp!L119)</f>
        <v>0</v>
      </c>
      <c r="M161" s="1049">
        <f>IF(obp!M119="","",obp!M119)</f>
        <v>0</v>
      </c>
      <c r="N161" s="1051" t="str">
        <f t="shared" si="63"/>
        <v/>
      </c>
      <c r="O161" s="1051"/>
      <c r="P161" s="1125" t="str">
        <f t="shared" si="64"/>
        <v/>
      </c>
      <c r="Q161" s="472"/>
      <c r="R161" s="923" t="str">
        <f t="shared" si="75"/>
        <v/>
      </c>
      <c r="S161" s="923" t="str">
        <f t="shared" si="65"/>
        <v/>
      </c>
      <c r="T161" s="925" t="str">
        <f t="shared" si="66"/>
        <v/>
      </c>
      <c r="U161" s="545"/>
      <c r="V161" s="1103"/>
      <c r="W161" s="1103"/>
      <c r="X161" s="1060"/>
      <c r="Y161" s="1095" t="e">
        <f t="shared" si="67"/>
        <v>#VALUE!</v>
      </c>
      <c r="Z161" s="1094">
        <f>tab!B$50</f>
        <v>0.6</v>
      </c>
      <c r="AA161" s="1126" t="e">
        <f t="shared" si="68"/>
        <v>#VALUE!</v>
      </c>
      <c r="AB161" s="1126" t="e">
        <f t="shared" si="69"/>
        <v>#VALUE!</v>
      </c>
      <c r="AC161" s="1126" t="e">
        <f t="shared" si="70"/>
        <v>#VALUE!</v>
      </c>
      <c r="AD161" s="1128" t="e">
        <f t="shared" si="71"/>
        <v>#VALUE!</v>
      </c>
      <c r="AE161" s="1128">
        <f t="shared" si="72"/>
        <v>0</v>
      </c>
      <c r="AF161" s="1096">
        <f>IF(H161&gt;8,tab!$B$51,tab!$B$54)</f>
        <v>0.5</v>
      </c>
      <c r="AG161" s="1097">
        <f t="shared" si="73"/>
        <v>0</v>
      </c>
      <c r="AH161" s="1093">
        <f t="shared" si="74"/>
        <v>0</v>
      </c>
      <c r="AK161" s="176"/>
    </row>
    <row r="162" spans="3:37" ht="12.75" customHeight="1" x14ac:dyDescent="0.3">
      <c r="C162" s="114"/>
      <c r="D162" s="353" t="str">
        <f>IF(obp!D120=0,"",obp!D120)</f>
        <v/>
      </c>
      <c r="E162" s="388" t="str">
        <f>IF(obp!E120=0,"",obp!E120)</f>
        <v/>
      </c>
      <c r="F162" s="105" t="str">
        <f>IF(obp!F120="","",obp!F120+1)</f>
        <v/>
      </c>
      <c r="G162" s="354" t="str">
        <f>IF(obp!G120="","",obp!G120)</f>
        <v/>
      </c>
      <c r="H162" s="684" t="str">
        <f>IF(obp!H120=0,"",obp!H120)</f>
        <v/>
      </c>
      <c r="I162" s="389" t="str">
        <f>IF(J162="","",(IF(obp!I120+1&gt;LOOKUP(H162,schaal2019,regels2019),obp!I120,obp!I120+1)))</f>
        <v/>
      </c>
      <c r="J162" s="356" t="str">
        <f>IF(obp!J120="","",obp!J120)</f>
        <v/>
      </c>
      <c r="K162" s="370"/>
      <c r="L162" s="1049">
        <f>IF(obp!L120="","",obp!L120)</f>
        <v>0</v>
      </c>
      <c r="M162" s="1049">
        <f>IF(obp!M120="","",obp!M120)</f>
        <v>0</v>
      </c>
      <c r="N162" s="1051" t="str">
        <f t="shared" si="63"/>
        <v/>
      </c>
      <c r="O162" s="1051"/>
      <c r="P162" s="1125" t="str">
        <f t="shared" si="64"/>
        <v/>
      </c>
      <c r="Q162" s="472"/>
      <c r="R162" s="923" t="str">
        <f t="shared" si="75"/>
        <v/>
      </c>
      <c r="S162" s="923" t="str">
        <f t="shared" si="65"/>
        <v/>
      </c>
      <c r="T162" s="925" t="str">
        <f t="shared" si="66"/>
        <v/>
      </c>
      <c r="U162" s="545"/>
      <c r="V162" s="1103"/>
      <c r="W162" s="1103"/>
      <c r="X162" s="1060"/>
      <c r="Y162" s="1095" t="e">
        <f t="shared" si="67"/>
        <v>#VALUE!</v>
      </c>
      <c r="Z162" s="1094">
        <f>tab!B$50</f>
        <v>0.6</v>
      </c>
      <c r="AA162" s="1126" t="e">
        <f t="shared" si="68"/>
        <v>#VALUE!</v>
      </c>
      <c r="AB162" s="1126" t="e">
        <f t="shared" si="69"/>
        <v>#VALUE!</v>
      </c>
      <c r="AC162" s="1126" t="e">
        <f t="shared" si="70"/>
        <v>#VALUE!</v>
      </c>
      <c r="AD162" s="1128" t="e">
        <f t="shared" si="71"/>
        <v>#VALUE!</v>
      </c>
      <c r="AE162" s="1128">
        <f t="shared" si="72"/>
        <v>0</v>
      </c>
      <c r="AF162" s="1096">
        <f>IF(H162&gt;8,tab!$B$51,tab!$B$54)</f>
        <v>0.5</v>
      </c>
      <c r="AG162" s="1097">
        <f t="shared" si="73"/>
        <v>0</v>
      </c>
      <c r="AH162" s="1093">
        <f t="shared" si="74"/>
        <v>0</v>
      </c>
      <c r="AK162" s="176"/>
    </row>
    <row r="163" spans="3:37" ht="12.75" customHeight="1" x14ac:dyDescent="0.3">
      <c r="C163" s="114"/>
      <c r="D163" s="353" t="str">
        <f>IF(obp!D121=0,"",obp!D121)</f>
        <v/>
      </c>
      <c r="E163" s="388" t="str">
        <f>IF(obp!E121=0,"",obp!E121)</f>
        <v/>
      </c>
      <c r="F163" s="105" t="str">
        <f>IF(obp!F121="","",obp!F121+1)</f>
        <v/>
      </c>
      <c r="G163" s="354" t="str">
        <f>IF(obp!G121="","",obp!G121)</f>
        <v/>
      </c>
      <c r="H163" s="684" t="str">
        <f>IF(obp!H121=0,"",obp!H121)</f>
        <v/>
      </c>
      <c r="I163" s="389" t="str">
        <f>IF(J163="","",(IF(obp!I121+1&gt;LOOKUP(H163,schaal2019,regels2019),obp!I121,obp!I121+1)))</f>
        <v/>
      </c>
      <c r="J163" s="356" t="str">
        <f>IF(obp!J121="","",obp!J121)</f>
        <v/>
      </c>
      <c r="K163" s="370"/>
      <c r="L163" s="1049">
        <f>IF(obp!L121="","",obp!L121)</f>
        <v>0</v>
      </c>
      <c r="M163" s="1049">
        <f>IF(obp!M121="","",obp!M121)</f>
        <v>0</v>
      </c>
      <c r="N163" s="1051" t="str">
        <f t="shared" si="63"/>
        <v/>
      </c>
      <c r="O163" s="1051"/>
      <c r="P163" s="1125" t="str">
        <f t="shared" si="64"/>
        <v/>
      </c>
      <c r="Q163" s="472"/>
      <c r="R163" s="923" t="str">
        <f t="shared" si="75"/>
        <v/>
      </c>
      <c r="S163" s="923" t="str">
        <f t="shared" si="65"/>
        <v/>
      </c>
      <c r="T163" s="925" t="str">
        <f t="shared" si="66"/>
        <v/>
      </c>
      <c r="U163" s="545"/>
      <c r="V163" s="1103"/>
      <c r="W163" s="1103"/>
      <c r="X163" s="1060"/>
      <c r="Y163" s="1095" t="e">
        <f t="shared" si="67"/>
        <v>#VALUE!</v>
      </c>
      <c r="Z163" s="1094">
        <f>tab!B$50</f>
        <v>0.6</v>
      </c>
      <c r="AA163" s="1126" t="e">
        <f t="shared" si="68"/>
        <v>#VALUE!</v>
      </c>
      <c r="AB163" s="1126" t="e">
        <f t="shared" si="69"/>
        <v>#VALUE!</v>
      </c>
      <c r="AC163" s="1126" t="e">
        <f t="shared" si="70"/>
        <v>#VALUE!</v>
      </c>
      <c r="AD163" s="1128" t="e">
        <f t="shared" si="71"/>
        <v>#VALUE!</v>
      </c>
      <c r="AE163" s="1128">
        <f t="shared" si="72"/>
        <v>0</v>
      </c>
      <c r="AF163" s="1096">
        <f>IF(H163&gt;8,tab!$B$51,tab!$B$54)</f>
        <v>0.5</v>
      </c>
      <c r="AG163" s="1097">
        <f t="shared" si="73"/>
        <v>0</v>
      </c>
      <c r="AH163" s="1093">
        <f t="shared" si="74"/>
        <v>0</v>
      </c>
      <c r="AK163" s="176"/>
    </row>
    <row r="164" spans="3:37" ht="12.75" customHeight="1" x14ac:dyDescent="0.3">
      <c r="C164" s="114"/>
      <c r="D164" s="353" t="str">
        <f>IF(obp!D122=0,"",obp!D122)</f>
        <v/>
      </c>
      <c r="E164" s="388" t="str">
        <f>IF(obp!E122=0,"",obp!E122)</f>
        <v/>
      </c>
      <c r="F164" s="105" t="str">
        <f>IF(obp!F122="","",obp!F122+1)</f>
        <v/>
      </c>
      <c r="G164" s="354" t="str">
        <f>IF(obp!G122="","",obp!G122)</f>
        <v/>
      </c>
      <c r="H164" s="684" t="str">
        <f>IF(obp!H122=0,"",obp!H122)</f>
        <v/>
      </c>
      <c r="I164" s="389" t="str">
        <f>IF(J164="","",(IF(obp!I122+1&gt;LOOKUP(H164,schaal2019,regels2019),obp!I122,obp!I122+1)))</f>
        <v/>
      </c>
      <c r="J164" s="356" t="str">
        <f>IF(obp!J122="","",obp!J122)</f>
        <v/>
      </c>
      <c r="K164" s="370"/>
      <c r="L164" s="1049">
        <f>IF(obp!L122="","",obp!L122)</f>
        <v>0</v>
      </c>
      <c r="M164" s="1049">
        <f>IF(obp!M122="","",obp!M122)</f>
        <v>0</v>
      </c>
      <c r="N164" s="1051" t="str">
        <f t="shared" si="63"/>
        <v/>
      </c>
      <c r="O164" s="1051"/>
      <c r="P164" s="1125" t="str">
        <f t="shared" si="64"/>
        <v/>
      </c>
      <c r="Q164" s="472"/>
      <c r="R164" s="923" t="str">
        <f t="shared" si="75"/>
        <v/>
      </c>
      <c r="S164" s="923" t="str">
        <f t="shared" si="65"/>
        <v/>
      </c>
      <c r="T164" s="925" t="str">
        <f t="shared" si="66"/>
        <v/>
      </c>
      <c r="U164" s="545"/>
      <c r="V164" s="1103"/>
      <c r="W164" s="1103"/>
      <c r="X164" s="1060"/>
      <c r="Y164" s="1095" t="e">
        <f t="shared" si="67"/>
        <v>#VALUE!</v>
      </c>
      <c r="Z164" s="1094">
        <f>tab!B$50</f>
        <v>0.6</v>
      </c>
      <c r="AA164" s="1126" t="e">
        <f t="shared" si="68"/>
        <v>#VALUE!</v>
      </c>
      <c r="AB164" s="1126" t="e">
        <f t="shared" si="69"/>
        <v>#VALUE!</v>
      </c>
      <c r="AC164" s="1126" t="e">
        <f t="shared" si="70"/>
        <v>#VALUE!</v>
      </c>
      <c r="AD164" s="1128" t="e">
        <f t="shared" si="71"/>
        <v>#VALUE!</v>
      </c>
      <c r="AE164" s="1128">
        <f t="shared" si="72"/>
        <v>0</v>
      </c>
      <c r="AF164" s="1096">
        <f>IF(H164&gt;8,tab!$B$51,tab!$B$54)</f>
        <v>0.5</v>
      </c>
      <c r="AG164" s="1097">
        <f t="shared" si="73"/>
        <v>0</v>
      </c>
      <c r="AH164" s="1093">
        <f t="shared" si="74"/>
        <v>0</v>
      </c>
      <c r="AK164" s="176"/>
    </row>
    <row r="165" spans="3:37" ht="12.75" customHeight="1" x14ac:dyDescent="0.3">
      <c r="C165" s="114"/>
      <c r="D165" s="353" t="str">
        <f>IF(obp!D123=0,"",obp!D123)</f>
        <v/>
      </c>
      <c r="E165" s="388" t="str">
        <f>IF(obp!E123=0,"",obp!E123)</f>
        <v/>
      </c>
      <c r="F165" s="105" t="str">
        <f>IF(obp!F123="","",obp!F123+1)</f>
        <v/>
      </c>
      <c r="G165" s="354" t="str">
        <f>IF(obp!G123="","",obp!G123)</f>
        <v/>
      </c>
      <c r="H165" s="684" t="str">
        <f>IF(obp!H123=0,"",obp!H123)</f>
        <v/>
      </c>
      <c r="I165" s="389" t="str">
        <f>IF(J165="","",(IF(obp!I123+1&gt;LOOKUP(H165,schaal2019,regels2019),obp!I123,obp!I123+1)))</f>
        <v/>
      </c>
      <c r="J165" s="356" t="str">
        <f>IF(obp!J123="","",obp!J123)</f>
        <v/>
      </c>
      <c r="K165" s="370"/>
      <c r="L165" s="1049">
        <f>IF(obp!L123="","",obp!L123)</f>
        <v>0</v>
      </c>
      <c r="M165" s="1049">
        <f>IF(obp!M123="","",obp!M123)</f>
        <v>0</v>
      </c>
      <c r="N165" s="1051" t="str">
        <f t="shared" si="63"/>
        <v/>
      </c>
      <c r="O165" s="1051"/>
      <c r="P165" s="1125" t="str">
        <f t="shared" si="64"/>
        <v/>
      </c>
      <c r="Q165" s="472"/>
      <c r="R165" s="923" t="str">
        <f t="shared" si="75"/>
        <v/>
      </c>
      <c r="S165" s="923" t="str">
        <f t="shared" si="65"/>
        <v/>
      </c>
      <c r="T165" s="925" t="str">
        <f t="shared" si="66"/>
        <v/>
      </c>
      <c r="U165" s="545"/>
      <c r="V165" s="1103"/>
      <c r="W165" s="1103"/>
      <c r="X165" s="1060"/>
      <c r="Y165" s="1095" t="e">
        <f t="shared" si="67"/>
        <v>#VALUE!</v>
      </c>
      <c r="Z165" s="1094">
        <f>tab!B$50</f>
        <v>0.6</v>
      </c>
      <c r="AA165" s="1126" t="e">
        <f t="shared" si="68"/>
        <v>#VALUE!</v>
      </c>
      <c r="AB165" s="1126" t="e">
        <f t="shared" si="69"/>
        <v>#VALUE!</v>
      </c>
      <c r="AC165" s="1126" t="e">
        <f t="shared" si="70"/>
        <v>#VALUE!</v>
      </c>
      <c r="AD165" s="1128" t="e">
        <f t="shared" si="71"/>
        <v>#VALUE!</v>
      </c>
      <c r="AE165" s="1128">
        <f t="shared" si="72"/>
        <v>0</v>
      </c>
      <c r="AF165" s="1096">
        <f>IF(H165&gt;8,tab!$B$51,tab!$B$54)</f>
        <v>0.5</v>
      </c>
      <c r="AG165" s="1097">
        <f t="shared" si="73"/>
        <v>0</v>
      </c>
      <c r="AH165" s="1093">
        <f t="shared" si="74"/>
        <v>0</v>
      </c>
      <c r="AK165" s="176"/>
    </row>
    <row r="166" spans="3:37" ht="12.75" customHeight="1" x14ac:dyDescent="0.3">
      <c r="C166" s="114"/>
      <c r="D166" s="353" t="str">
        <f>IF(obp!D124=0,"",obp!D124)</f>
        <v/>
      </c>
      <c r="E166" s="388" t="str">
        <f>IF(obp!E124=0,"",obp!E124)</f>
        <v/>
      </c>
      <c r="F166" s="105" t="str">
        <f>IF(obp!F124="","",obp!F124+1)</f>
        <v/>
      </c>
      <c r="G166" s="354" t="str">
        <f>IF(obp!G124="","",obp!G124)</f>
        <v/>
      </c>
      <c r="H166" s="684" t="str">
        <f>IF(obp!H124=0,"",obp!H124)</f>
        <v/>
      </c>
      <c r="I166" s="389" t="str">
        <f>IF(J166="","",(IF(obp!I124+1&gt;LOOKUP(H166,schaal2019,regels2019),obp!I124,obp!I124+1)))</f>
        <v/>
      </c>
      <c r="J166" s="356" t="str">
        <f>IF(obp!J124="","",obp!J124)</f>
        <v/>
      </c>
      <c r="K166" s="370"/>
      <c r="L166" s="1049">
        <f>IF(obp!L124="","",obp!L124)</f>
        <v>0</v>
      </c>
      <c r="M166" s="1049">
        <f>IF(obp!M124="","",obp!M124)</f>
        <v>0</v>
      </c>
      <c r="N166" s="1051" t="str">
        <f t="shared" si="63"/>
        <v/>
      </c>
      <c r="O166" s="1051"/>
      <c r="P166" s="1125" t="str">
        <f t="shared" si="64"/>
        <v/>
      </c>
      <c r="Q166" s="472"/>
      <c r="R166" s="923" t="str">
        <f t="shared" si="75"/>
        <v/>
      </c>
      <c r="S166" s="923" t="str">
        <f t="shared" si="65"/>
        <v/>
      </c>
      <c r="T166" s="925" t="str">
        <f t="shared" si="66"/>
        <v/>
      </c>
      <c r="U166" s="545"/>
      <c r="V166" s="1103"/>
      <c r="W166" s="1103"/>
      <c r="X166" s="1060"/>
      <c r="Y166" s="1095" t="e">
        <f t="shared" si="67"/>
        <v>#VALUE!</v>
      </c>
      <c r="Z166" s="1094">
        <f>tab!B$50</f>
        <v>0.6</v>
      </c>
      <c r="AA166" s="1126" t="e">
        <f t="shared" si="68"/>
        <v>#VALUE!</v>
      </c>
      <c r="AB166" s="1126" t="e">
        <f t="shared" si="69"/>
        <v>#VALUE!</v>
      </c>
      <c r="AC166" s="1126" t="e">
        <f t="shared" si="70"/>
        <v>#VALUE!</v>
      </c>
      <c r="AD166" s="1128" t="e">
        <f t="shared" si="71"/>
        <v>#VALUE!</v>
      </c>
      <c r="AE166" s="1128">
        <f t="shared" si="72"/>
        <v>0</v>
      </c>
      <c r="AF166" s="1096">
        <f>IF(H166&gt;8,tab!$B$51,tab!$B$54)</f>
        <v>0.5</v>
      </c>
      <c r="AG166" s="1097">
        <f t="shared" si="73"/>
        <v>0</v>
      </c>
      <c r="AH166" s="1093">
        <f t="shared" si="74"/>
        <v>0</v>
      </c>
      <c r="AK166" s="176"/>
    </row>
    <row r="167" spans="3:37" ht="12.75" customHeight="1" x14ac:dyDescent="0.3">
      <c r="C167" s="114"/>
      <c r="D167" s="353" t="str">
        <f>IF(obp!D125=0,"",obp!D125)</f>
        <v/>
      </c>
      <c r="E167" s="388" t="str">
        <f>IF(obp!E125=0,"",obp!E125)</f>
        <v/>
      </c>
      <c r="F167" s="105" t="str">
        <f>IF(obp!F125="","",obp!F125+1)</f>
        <v/>
      </c>
      <c r="G167" s="354" t="str">
        <f>IF(obp!G125="","",obp!G125)</f>
        <v/>
      </c>
      <c r="H167" s="684" t="str">
        <f>IF(obp!H125=0,"",obp!H125)</f>
        <v/>
      </c>
      <c r="I167" s="389" t="str">
        <f>IF(J167="","",(IF(obp!I125+1&gt;LOOKUP(H167,schaal2019,regels2019),obp!I125,obp!I125+1)))</f>
        <v/>
      </c>
      <c r="J167" s="356" t="str">
        <f>IF(obp!J125="","",obp!J125)</f>
        <v/>
      </c>
      <c r="K167" s="370"/>
      <c r="L167" s="1049">
        <f>IF(obp!L125="","",obp!L125)</f>
        <v>0</v>
      </c>
      <c r="M167" s="1049">
        <f>IF(obp!M125="","",obp!M125)</f>
        <v>0</v>
      </c>
      <c r="N167" s="1051" t="str">
        <f t="shared" si="63"/>
        <v/>
      </c>
      <c r="O167" s="1051"/>
      <c r="P167" s="1125" t="str">
        <f t="shared" si="64"/>
        <v/>
      </c>
      <c r="Q167" s="472"/>
      <c r="R167" s="923" t="str">
        <f t="shared" si="75"/>
        <v/>
      </c>
      <c r="S167" s="923" t="str">
        <f t="shared" si="65"/>
        <v/>
      </c>
      <c r="T167" s="925" t="str">
        <f t="shared" si="66"/>
        <v/>
      </c>
      <c r="U167" s="545"/>
      <c r="V167" s="1103"/>
      <c r="W167" s="1103"/>
      <c r="X167" s="1060"/>
      <c r="Y167" s="1095" t="e">
        <f t="shared" si="67"/>
        <v>#VALUE!</v>
      </c>
      <c r="Z167" s="1094">
        <f>tab!B$50</f>
        <v>0.6</v>
      </c>
      <c r="AA167" s="1126" t="e">
        <f t="shared" si="68"/>
        <v>#VALUE!</v>
      </c>
      <c r="AB167" s="1126" t="e">
        <f t="shared" si="69"/>
        <v>#VALUE!</v>
      </c>
      <c r="AC167" s="1126" t="e">
        <f t="shared" si="70"/>
        <v>#VALUE!</v>
      </c>
      <c r="AD167" s="1128" t="e">
        <f t="shared" si="71"/>
        <v>#VALUE!</v>
      </c>
      <c r="AE167" s="1128">
        <f t="shared" si="72"/>
        <v>0</v>
      </c>
      <c r="AF167" s="1096">
        <f>IF(H167&gt;8,tab!$B$51,tab!$B$54)</f>
        <v>0.5</v>
      </c>
      <c r="AG167" s="1097">
        <f t="shared" si="73"/>
        <v>0</v>
      </c>
      <c r="AH167" s="1093">
        <f t="shared" si="74"/>
        <v>0</v>
      </c>
      <c r="AK167" s="176"/>
    </row>
    <row r="168" spans="3:37" ht="12.75" customHeight="1" x14ac:dyDescent="0.3">
      <c r="C168" s="114"/>
      <c r="D168" s="353" t="str">
        <f>IF(obp!D126=0,"",obp!D126)</f>
        <v/>
      </c>
      <c r="E168" s="388" t="str">
        <f>IF(obp!E126=0,"",obp!E126)</f>
        <v/>
      </c>
      <c r="F168" s="105" t="str">
        <f>IF(obp!F126="","",obp!F126+1)</f>
        <v/>
      </c>
      <c r="G168" s="354" t="str">
        <f>IF(obp!G126="","",obp!G126)</f>
        <v/>
      </c>
      <c r="H168" s="684" t="str">
        <f>IF(obp!H126=0,"",obp!H126)</f>
        <v/>
      </c>
      <c r="I168" s="389" t="str">
        <f>IF(J168="","",(IF(obp!I126+1&gt;LOOKUP(H168,schaal2019,regels2019),obp!I126,obp!I126+1)))</f>
        <v/>
      </c>
      <c r="J168" s="356" t="str">
        <f>IF(obp!J126="","",obp!J126)</f>
        <v/>
      </c>
      <c r="K168" s="370"/>
      <c r="L168" s="1049">
        <f>IF(obp!L126="","",obp!L126)</f>
        <v>0</v>
      </c>
      <c r="M168" s="1049">
        <f>IF(obp!M126="","",obp!M126)</f>
        <v>0</v>
      </c>
      <c r="N168" s="1051" t="str">
        <f t="shared" si="63"/>
        <v/>
      </c>
      <c r="O168" s="1051"/>
      <c r="P168" s="1125" t="str">
        <f t="shared" si="64"/>
        <v/>
      </c>
      <c r="Q168" s="472"/>
      <c r="R168" s="923" t="str">
        <f t="shared" si="75"/>
        <v/>
      </c>
      <c r="S168" s="923" t="str">
        <f t="shared" si="65"/>
        <v/>
      </c>
      <c r="T168" s="925" t="str">
        <f t="shared" si="66"/>
        <v/>
      </c>
      <c r="U168" s="545"/>
      <c r="V168" s="1103"/>
      <c r="W168" s="1103"/>
      <c r="X168" s="1060"/>
      <c r="Y168" s="1095" t="e">
        <f t="shared" si="67"/>
        <v>#VALUE!</v>
      </c>
      <c r="Z168" s="1094">
        <f>tab!B$50</f>
        <v>0.6</v>
      </c>
      <c r="AA168" s="1126" t="e">
        <f t="shared" si="68"/>
        <v>#VALUE!</v>
      </c>
      <c r="AB168" s="1126" t="e">
        <f t="shared" si="69"/>
        <v>#VALUE!</v>
      </c>
      <c r="AC168" s="1126" t="e">
        <f t="shared" si="70"/>
        <v>#VALUE!</v>
      </c>
      <c r="AD168" s="1128" t="e">
        <f t="shared" si="71"/>
        <v>#VALUE!</v>
      </c>
      <c r="AE168" s="1128">
        <f t="shared" si="72"/>
        <v>0</v>
      </c>
      <c r="AF168" s="1096">
        <f>IF(H168&gt;8,tab!$B$51,tab!$B$54)</f>
        <v>0.5</v>
      </c>
      <c r="AG168" s="1097">
        <f t="shared" si="73"/>
        <v>0</v>
      </c>
      <c r="AH168" s="1093">
        <f t="shared" si="74"/>
        <v>0</v>
      </c>
      <c r="AK168" s="176"/>
    </row>
    <row r="169" spans="3:37" ht="12.75" customHeight="1" x14ac:dyDescent="0.3">
      <c r="C169" s="114"/>
      <c r="D169" s="353" t="str">
        <f>IF(obp!D127=0,"",obp!D127)</f>
        <v/>
      </c>
      <c r="E169" s="388" t="str">
        <f>IF(obp!E127=0,"",obp!E127)</f>
        <v/>
      </c>
      <c r="F169" s="105" t="str">
        <f>IF(obp!F127="","",obp!F127+1)</f>
        <v/>
      </c>
      <c r="G169" s="354" t="str">
        <f>IF(obp!G127="","",obp!G127)</f>
        <v/>
      </c>
      <c r="H169" s="684" t="str">
        <f>IF(obp!H127=0,"",obp!H127)</f>
        <v/>
      </c>
      <c r="I169" s="389" t="str">
        <f>IF(J169="","",(IF(obp!I127+1&gt;LOOKUP(H169,schaal2019,regels2019),obp!I127,obp!I127+1)))</f>
        <v/>
      </c>
      <c r="J169" s="356" t="str">
        <f>IF(obp!J127="","",obp!J127)</f>
        <v/>
      </c>
      <c r="K169" s="370"/>
      <c r="L169" s="1049">
        <f>IF(obp!L127="","",obp!L127)</f>
        <v>0</v>
      </c>
      <c r="M169" s="1049">
        <f>IF(obp!M127="","",obp!M127)</f>
        <v>0</v>
      </c>
      <c r="N169" s="1051" t="str">
        <f t="shared" si="63"/>
        <v/>
      </c>
      <c r="O169" s="1051"/>
      <c r="P169" s="1125" t="str">
        <f t="shared" si="64"/>
        <v/>
      </c>
      <c r="Q169" s="472"/>
      <c r="R169" s="923" t="str">
        <f t="shared" si="75"/>
        <v/>
      </c>
      <c r="S169" s="923" t="str">
        <f t="shared" si="65"/>
        <v/>
      </c>
      <c r="T169" s="925" t="str">
        <f t="shared" si="66"/>
        <v/>
      </c>
      <c r="U169" s="545"/>
      <c r="V169" s="1103"/>
      <c r="W169" s="1103"/>
      <c r="X169" s="1060"/>
      <c r="Y169" s="1095" t="e">
        <f t="shared" si="67"/>
        <v>#VALUE!</v>
      </c>
      <c r="Z169" s="1094">
        <f>tab!B$50</f>
        <v>0.6</v>
      </c>
      <c r="AA169" s="1126" t="e">
        <f t="shared" si="68"/>
        <v>#VALUE!</v>
      </c>
      <c r="AB169" s="1126" t="e">
        <f t="shared" si="69"/>
        <v>#VALUE!</v>
      </c>
      <c r="AC169" s="1126" t="e">
        <f t="shared" si="70"/>
        <v>#VALUE!</v>
      </c>
      <c r="AD169" s="1128" t="e">
        <f t="shared" si="71"/>
        <v>#VALUE!</v>
      </c>
      <c r="AE169" s="1128">
        <f t="shared" si="72"/>
        <v>0</v>
      </c>
      <c r="AF169" s="1096">
        <f>IF(H169&gt;8,tab!$B$51,tab!$B$54)</f>
        <v>0.5</v>
      </c>
      <c r="AG169" s="1097">
        <f t="shared" si="73"/>
        <v>0</v>
      </c>
      <c r="AH169" s="1093">
        <f t="shared" si="74"/>
        <v>0</v>
      </c>
      <c r="AK169" s="176"/>
    </row>
    <row r="170" spans="3:37" ht="12.75" customHeight="1" x14ac:dyDescent="0.3">
      <c r="C170" s="114"/>
      <c r="D170" s="353" t="str">
        <f>IF(obp!D128=0,"",obp!D128)</f>
        <v/>
      </c>
      <c r="E170" s="388" t="str">
        <f>IF(obp!E128=0,"",obp!E128)</f>
        <v/>
      </c>
      <c r="F170" s="105" t="str">
        <f>IF(obp!F128="","",obp!F128+1)</f>
        <v/>
      </c>
      <c r="G170" s="354" t="str">
        <f>IF(obp!G128="","",obp!G128)</f>
        <v/>
      </c>
      <c r="H170" s="684" t="str">
        <f>IF(obp!H128=0,"",obp!H128)</f>
        <v/>
      </c>
      <c r="I170" s="389" t="str">
        <f>IF(J170="","",(IF(obp!I128+1&gt;LOOKUP(H170,schaal2019,regels2019),obp!I128,obp!I128+1)))</f>
        <v/>
      </c>
      <c r="J170" s="356" t="str">
        <f>IF(obp!J128="","",obp!J128)</f>
        <v/>
      </c>
      <c r="K170" s="370"/>
      <c r="L170" s="1049">
        <f>IF(obp!L128="","",obp!L128)</f>
        <v>0</v>
      </c>
      <c r="M170" s="1049">
        <f>IF(obp!M128="","",obp!M128)</f>
        <v>0</v>
      </c>
      <c r="N170" s="1051" t="str">
        <f t="shared" si="63"/>
        <v/>
      </c>
      <c r="O170" s="1051"/>
      <c r="P170" s="1125" t="str">
        <f t="shared" si="64"/>
        <v/>
      </c>
      <c r="Q170" s="472"/>
      <c r="R170" s="923" t="str">
        <f t="shared" si="75"/>
        <v/>
      </c>
      <c r="S170" s="923" t="str">
        <f t="shared" si="65"/>
        <v/>
      </c>
      <c r="T170" s="925" t="str">
        <f t="shared" si="66"/>
        <v/>
      </c>
      <c r="U170" s="545"/>
      <c r="V170" s="1103"/>
      <c r="W170" s="1103"/>
      <c r="X170" s="1060"/>
      <c r="Y170" s="1095" t="e">
        <f t="shared" si="67"/>
        <v>#VALUE!</v>
      </c>
      <c r="Z170" s="1094">
        <f>tab!B$50</f>
        <v>0.6</v>
      </c>
      <c r="AA170" s="1126" t="e">
        <f t="shared" si="68"/>
        <v>#VALUE!</v>
      </c>
      <c r="AB170" s="1126" t="e">
        <f t="shared" si="69"/>
        <v>#VALUE!</v>
      </c>
      <c r="AC170" s="1126" t="e">
        <f t="shared" si="70"/>
        <v>#VALUE!</v>
      </c>
      <c r="AD170" s="1128" t="e">
        <f t="shared" si="71"/>
        <v>#VALUE!</v>
      </c>
      <c r="AE170" s="1128">
        <f t="shared" si="72"/>
        <v>0</v>
      </c>
      <c r="AF170" s="1096">
        <f>IF(H170&gt;8,tab!$B$51,tab!$B$54)</f>
        <v>0.5</v>
      </c>
      <c r="AG170" s="1097">
        <f t="shared" si="73"/>
        <v>0</v>
      </c>
      <c r="AH170" s="1093">
        <f t="shared" si="74"/>
        <v>0</v>
      </c>
      <c r="AK170" s="176"/>
    </row>
    <row r="171" spans="3:37" ht="12.75" customHeight="1" x14ac:dyDescent="0.3">
      <c r="C171" s="114"/>
      <c r="D171" s="353" t="str">
        <f>IF(obp!D129=0,"",obp!D129)</f>
        <v/>
      </c>
      <c r="E171" s="388" t="str">
        <f>IF(obp!E129=0,"",obp!E129)</f>
        <v/>
      </c>
      <c r="F171" s="105" t="str">
        <f>IF(obp!F129="","",obp!F129+1)</f>
        <v/>
      </c>
      <c r="G171" s="354" t="str">
        <f>IF(obp!G129="","",obp!G129)</f>
        <v/>
      </c>
      <c r="H171" s="684" t="str">
        <f>IF(obp!H129=0,"",obp!H129)</f>
        <v/>
      </c>
      <c r="I171" s="389" t="str">
        <f>IF(J171="","",(IF(obp!I129+1&gt;LOOKUP(H171,schaal2019,regels2019),obp!I129,obp!I129+1)))</f>
        <v/>
      </c>
      <c r="J171" s="356" t="str">
        <f>IF(obp!J129="","",obp!J129)</f>
        <v/>
      </c>
      <c r="K171" s="370"/>
      <c r="L171" s="1049">
        <f>IF(obp!L129="","",obp!L129)</f>
        <v>0</v>
      </c>
      <c r="M171" s="1049">
        <f>IF(obp!M129="","",obp!M129)</f>
        <v>0</v>
      </c>
      <c r="N171" s="1051" t="str">
        <f t="shared" si="63"/>
        <v/>
      </c>
      <c r="O171" s="1051"/>
      <c r="P171" s="1125" t="str">
        <f t="shared" si="64"/>
        <v/>
      </c>
      <c r="Q171" s="472"/>
      <c r="R171" s="923" t="str">
        <f t="shared" si="75"/>
        <v/>
      </c>
      <c r="S171" s="923" t="str">
        <f t="shared" si="65"/>
        <v/>
      </c>
      <c r="T171" s="925" t="str">
        <f t="shared" si="66"/>
        <v/>
      </c>
      <c r="U171" s="545"/>
      <c r="V171" s="1103"/>
      <c r="W171" s="1103"/>
      <c r="X171" s="1060"/>
      <c r="Y171" s="1095" t="e">
        <f t="shared" si="67"/>
        <v>#VALUE!</v>
      </c>
      <c r="Z171" s="1094">
        <f>tab!B$50</f>
        <v>0.6</v>
      </c>
      <c r="AA171" s="1126" t="e">
        <f t="shared" si="68"/>
        <v>#VALUE!</v>
      </c>
      <c r="AB171" s="1126" t="e">
        <f t="shared" si="69"/>
        <v>#VALUE!</v>
      </c>
      <c r="AC171" s="1126" t="e">
        <f t="shared" si="70"/>
        <v>#VALUE!</v>
      </c>
      <c r="AD171" s="1128" t="e">
        <f t="shared" si="71"/>
        <v>#VALUE!</v>
      </c>
      <c r="AE171" s="1128">
        <f t="shared" si="72"/>
        <v>0</v>
      </c>
      <c r="AF171" s="1096">
        <f>IF(H171&gt;8,tab!$B$51,tab!$B$54)</f>
        <v>0.5</v>
      </c>
      <c r="AG171" s="1097">
        <f t="shared" si="73"/>
        <v>0</v>
      </c>
      <c r="AH171" s="1093">
        <f t="shared" si="74"/>
        <v>0</v>
      </c>
      <c r="AK171" s="176"/>
    </row>
    <row r="172" spans="3:37" ht="12.75" customHeight="1" x14ac:dyDescent="0.3">
      <c r="C172" s="114"/>
      <c r="D172" s="353" t="str">
        <f>IF(obp!D130=0,"",obp!D130)</f>
        <v/>
      </c>
      <c r="E172" s="388" t="str">
        <f>IF(obp!E130=0,"",obp!E130)</f>
        <v/>
      </c>
      <c r="F172" s="105" t="str">
        <f>IF(obp!F130="","",obp!F130+1)</f>
        <v/>
      </c>
      <c r="G172" s="354" t="str">
        <f>IF(obp!G130="","",obp!G130)</f>
        <v/>
      </c>
      <c r="H172" s="684" t="str">
        <f>IF(obp!H130=0,"",obp!H130)</f>
        <v/>
      </c>
      <c r="I172" s="389" t="str">
        <f>IF(J172="","",(IF(obp!I130+1&gt;LOOKUP(H172,schaal2019,regels2019),obp!I130,obp!I130+1)))</f>
        <v/>
      </c>
      <c r="J172" s="356" t="str">
        <f>IF(obp!J130="","",obp!J130)</f>
        <v/>
      </c>
      <c r="K172" s="370"/>
      <c r="L172" s="1049">
        <f>IF(obp!L130="","",obp!L130)</f>
        <v>0</v>
      </c>
      <c r="M172" s="1049">
        <f>IF(obp!M130="","",obp!M130)</f>
        <v>0</v>
      </c>
      <c r="N172" s="1051" t="str">
        <f t="shared" si="63"/>
        <v/>
      </c>
      <c r="O172" s="1051"/>
      <c r="P172" s="1125" t="str">
        <f t="shared" si="64"/>
        <v/>
      </c>
      <c r="Q172" s="472"/>
      <c r="R172" s="923" t="str">
        <f t="shared" si="75"/>
        <v/>
      </c>
      <c r="S172" s="923" t="str">
        <f t="shared" si="65"/>
        <v/>
      </c>
      <c r="T172" s="925" t="str">
        <f t="shared" si="66"/>
        <v/>
      </c>
      <c r="U172" s="545"/>
      <c r="V172" s="1103"/>
      <c r="W172" s="1103"/>
      <c r="X172" s="1060"/>
      <c r="Y172" s="1095" t="e">
        <f t="shared" si="67"/>
        <v>#VALUE!</v>
      </c>
      <c r="Z172" s="1094">
        <f>tab!B$50</f>
        <v>0.6</v>
      </c>
      <c r="AA172" s="1126" t="e">
        <f t="shared" si="68"/>
        <v>#VALUE!</v>
      </c>
      <c r="AB172" s="1126" t="e">
        <f t="shared" si="69"/>
        <v>#VALUE!</v>
      </c>
      <c r="AC172" s="1126" t="e">
        <f t="shared" si="70"/>
        <v>#VALUE!</v>
      </c>
      <c r="AD172" s="1128" t="e">
        <f t="shared" si="71"/>
        <v>#VALUE!</v>
      </c>
      <c r="AE172" s="1128">
        <f t="shared" si="72"/>
        <v>0</v>
      </c>
      <c r="AF172" s="1096">
        <f>IF(H172&gt;8,tab!$B$51,tab!$B$54)</f>
        <v>0.5</v>
      </c>
      <c r="AG172" s="1097">
        <f t="shared" si="73"/>
        <v>0</v>
      </c>
      <c r="AH172" s="1093">
        <f t="shared" si="74"/>
        <v>0</v>
      </c>
      <c r="AK172" s="176"/>
    </row>
    <row r="173" spans="3:37" ht="12.75" customHeight="1" x14ac:dyDescent="0.3">
      <c r="C173" s="114"/>
      <c r="D173" s="353" t="str">
        <f>IF(obp!D131=0,"",obp!D131)</f>
        <v/>
      </c>
      <c r="E173" s="388" t="str">
        <f>IF(obp!E131=0,"",obp!E131)</f>
        <v/>
      </c>
      <c r="F173" s="105" t="str">
        <f>IF(obp!F131="","",obp!F131+1)</f>
        <v/>
      </c>
      <c r="G173" s="354" t="str">
        <f>IF(obp!G131="","",obp!G131)</f>
        <v/>
      </c>
      <c r="H173" s="684" t="str">
        <f>IF(obp!H131=0,"",obp!H131)</f>
        <v/>
      </c>
      <c r="I173" s="389" t="str">
        <f>IF(J173="","",(IF(obp!I131+1&gt;LOOKUP(H173,schaal2019,regels2019),obp!I131,obp!I131+1)))</f>
        <v/>
      </c>
      <c r="J173" s="356" t="str">
        <f>IF(obp!J131="","",obp!J131)</f>
        <v/>
      </c>
      <c r="K173" s="370"/>
      <c r="L173" s="1049">
        <f>IF(obp!L131="","",obp!L131)</f>
        <v>0</v>
      </c>
      <c r="M173" s="1049">
        <f>IF(obp!M131="","",obp!M131)</f>
        <v>0</v>
      </c>
      <c r="N173" s="1051" t="str">
        <f t="shared" si="63"/>
        <v/>
      </c>
      <c r="O173" s="1051"/>
      <c r="P173" s="1125" t="str">
        <f t="shared" si="64"/>
        <v/>
      </c>
      <c r="Q173" s="472"/>
      <c r="R173" s="923" t="str">
        <f t="shared" si="75"/>
        <v/>
      </c>
      <c r="S173" s="923" t="str">
        <f t="shared" si="65"/>
        <v/>
      </c>
      <c r="T173" s="925" t="str">
        <f t="shared" si="66"/>
        <v/>
      </c>
      <c r="U173" s="545"/>
      <c r="V173" s="1103"/>
      <c r="W173" s="1103"/>
      <c r="X173" s="1060"/>
      <c r="Y173" s="1095" t="e">
        <f t="shared" si="67"/>
        <v>#VALUE!</v>
      </c>
      <c r="Z173" s="1094">
        <f>tab!B$50</f>
        <v>0.6</v>
      </c>
      <c r="AA173" s="1126" t="e">
        <f t="shared" si="68"/>
        <v>#VALUE!</v>
      </c>
      <c r="AB173" s="1126" t="e">
        <f t="shared" si="69"/>
        <v>#VALUE!</v>
      </c>
      <c r="AC173" s="1126" t="e">
        <f t="shared" si="70"/>
        <v>#VALUE!</v>
      </c>
      <c r="AD173" s="1128" t="e">
        <f t="shared" si="71"/>
        <v>#VALUE!</v>
      </c>
      <c r="AE173" s="1128">
        <f t="shared" si="72"/>
        <v>0</v>
      </c>
      <c r="AF173" s="1096">
        <f>IF(H173&gt;8,tab!$B$51,tab!$B$54)</f>
        <v>0.5</v>
      </c>
      <c r="AG173" s="1097">
        <f t="shared" si="73"/>
        <v>0</v>
      </c>
      <c r="AH173" s="1093">
        <f t="shared" si="74"/>
        <v>0</v>
      </c>
      <c r="AK173" s="176"/>
    </row>
    <row r="174" spans="3:37" x14ac:dyDescent="0.3">
      <c r="C174" s="114"/>
      <c r="D174" s="730"/>
      <c r="E174" s="731"/>
      <c r="F174" s="119"/>
      <c r="G174" s="683"/>
      <c r="H174" s="732"/>
      <c r="I174" s="369"/>
      <c r="J174" s="963">
        <f>SUM(J144:J173)</f>
        <v>1</v>
      </c>
      <c r="K174" s="715"/>
      <c r="L174" s="1062">
        <f t="shared" ref="L174:P174" si="76">SUM(L144:L173)</f>
        <v>0</v>
      </c>
      <c r="M174" s="1062">
        <f t="shared" si="76"/>
        <v>0</v>
      </c>
      <c r="N174" s="1039">
        <f>SUM(N144:N173)</f>
        <v>40</v>
      </c>
      <c r="O174" s="919"/>
      <c r="P174" s="1039">
        <f t="shared" si="76"/>
        <v>40</v>
      </c>
      <c r="Q174" s="715"/>
      <c r="R174" s="964">
        <f t="shared" ref="R174:T174" si="77">SUM(R144:R173)</f>
        <v>60183.470524412303</v>
      </c>
      <c r="S174" s="965">
        <f t="shared" si="77"/>
        <v>1486.9294755877036</v>
      </c>
      <c r="T174" s="962">
        <f t="shared" si="77"/>
        <v>61670.400000000009</v>
      </c>
      <c r="U174" s="117"/>
      <c r="V174" s="1063"/>
      <c r="W174" s="1063"/>
      <c r="Y174" s="1112"/>
      <c r="Z174" s="1113"/>
      <c r="AA174" s="1113"/>
      <c r="AB174" s="1113"/>
      <c r="AC174" s="1113"/>
      <c r="AG174" s="1090">
        <f>SUM(AG144:AG173)</f>
        <v>0</v>
      </c>
      <c r="AH174" s="1114">
        <f>SUM(AH144:AH173)</f>
        <v>0</v>
      </c>
    </row>
    <row r="175" spans="3:37" x14ac:dyDescent="0.3">
      <c r="C175" s="626"/>
      <c r="D175" s="234"/>
      <c r="E175" s="234"/>
      <c r="F175" s="671"/>
      <c r="G175" s="671"/>
      <c r="H175" s="671"/>
      <c r="I175" s="672"/>
      <c r="J175" s="673"/>
      <c r="K175" s="672"/>
      <c r="L175" s="672"/>
      <c r="M175" s="672"/>
      <c r="N175" s="673"/>
      <c r="O175" s="672"/>
      <c r="P175" s="672"/>
      <c r="Q175" s="672"/>
      <c r="R175" s="378"/>
      <c r="S175" s="379"/>
      <c r="T175" s="780"/>
      <c r="U175" s="674"/>
      <c r="V175" s="1063"/>
      <c r="W175" s="1063"/>
      <c r="Y175" s="1115"/>
      <c r="Z175" s="1098"/>
      <c r="AA175" s="1098"/>
      <c r="AB175" s="1098"/>
      <c r="AC175" s="1098"/>
      <c r="AG175" s="1099"/>
      <c r="AH175" s="1100"/>
    </row>
    <row r="176" spans="3:37" x14ac:dyDescent="0.3">
      <c r="V176" s="1063"/>
      <c r="W176" s="1063"/>
    </row>
    <row r="177" spans="2:42" x14ac:dyDescent="0.3">
      <c r="V177" s="1063"/>
      <c r="W177" s="1063"/>
    </row>
    <row r="178" spans="2:42" x14ac:dyDescent="0.3">
      <c r="C178" s="8" t="s">
        <v>180</v>
      </c>
      <c r="E178" s="289" t="str">
        <f>dir!E97</f>
        <v>2023/24</v>
      </c>
      <c r="V178" s="1063"/>
      <c r="W178" s="1063"/>
    </row>
    <row r="179" spans="2:42" x14ac:dyDescent="0.3">
      <c r="C179" s="8" t="s">
        <v>193</v>
      </c>
      <c r="E179" s="289">
        <f>dir!E98</f>
        <v>45200</v>
      </c>
      <c r="V179" s="1063"/>
      <c r="W179" s="1063"/>
    </row>
    <row r="180" spans="2:42" x14ac:dyDescent="0.3">
      <c r="V180" s="1063"/>
      <c r="W180" s="1063"/>
    </row>
    <row r="181" spans="2:42" ht="12.75" customHeight="1" x14ac:dyDescent="0.3">
      <c r="C181" s="163"/>
      <c r="D181" s="961"/>
      <c r="E181" s="927"/>
      <c r="F181" s="928"/>
      <c r="G181" s="929"/>
      <c r="H181" s="930"/>
      <c r="I181" s="930"/>
      <c r="J181" s="931"/>
      <c r="K181" s="932"/>
      <c r="L181" s="930"/>
      <c r="M181" s="930"/>
      <c r="N181" s="931"/>
      <c r="O181" s="930"/>
      <c r="P181" s="930"/>
      <c r="Q181" s="932"/>
      <c r="R181" s="932"/>
      <c r="S181" s="933"/>
      <c r="T181" s="934"/>
      <c r="U181" s="109"/>
      <c r="V181" s="1063"/>
      <c r="W181" s="1063"/>
      <c r="AE181" s="1077"/>
      <c r="AF181" s="1078"/>
      <c r="AI181" s="1077"/>
      <c r="AJ181" s="1089"/>
      <c r="AK181" s="270"/>
      <c r="AL181" s="271"/>
      <c r="AM181" s="283"/>
      <c r="AN181" s="18"/>
    </row>
    <row r="182" spans="2:42" s="129" customFormat="1" ht="12.75" customHeight="1" x14ac:dyDescent="0.3">
      <c r="B182" s="134"/>
      <c r="C182" s="382"/>
      <c r="D182" s="1033" t="s">
        <v>285</v>
      </c>
      <c r="E182" s="1033"/>
      <c r="F182" s="1033"/>
      <c r="G182" s="1033"/>
      <c r="H182" s="1033"/>
      <c r="I182" s="1033"/>
      <c r="J182" s="1033"/>
      <c r="K182" s="1034"/>
      <c r="L182" s="1033" t="s">
        <v>502</v>
      </c>
      <c r="M182" s="1035"/>
      <c r="N182" s="1033"/>
      <c r="O182" s="1033"/>
      <c r="P182" s="1133"/>
      <c r="Q182" s="902"/>
      <c r="R182" s="1033" t="s">
        <v>503</v>
      </c>
      <c r="S182" s="1036"/>
      <c r="T182" s="1134"/>
      <c r="U182" s="1135"/>
      <c r="V182" s="1064"/>
      <c r="W182" s="1064"/>
      <c r="X182" s="384"/>
      <c r="Y182" s="1063"/>
      <c r="Z182" s="1136"/>
      <c r="AA182" s="1063"/>
      <c r="AB182" s="1063"/>
      <c r="AC182" s="1063"/>
      <c r="AD182" s="1137"/>
      <c r="AE182" s="1137"/>
      <c r="AF182" s="1136"/>
      <c r="AG182" s="1090"/>
      <c r="AH182" s="1091"/>
      <c r="AI182" s="1063"/>
      <c r="AJ182" s="1063"/>
      <c r="AO182" s="384"/>
      <c r="AP182" s="384"/>
    </row>
    <row r="183" spans="2:42" s="129" customFormat="1" ht="12.75" customHeight="1" x14ac:dyDescent="0.3">
      <c r="B183" s="134"/>
      <c r="C183" s="382"/>
      <c r="D183" s="903" t="s">
        <v>494</v>
      </c>
      <c r="E183" s="877" t="s">
        <v>181</v>
      </c>
      <c r="F183" s="904" t="s">
        <v>137</v>
      </c>
      <c r="G183" s="905" t="s">
        <v>273</v>
      </c>
      <c r="H183" s="904" t="s">
        <v>206</v>
      </c>
      <c r="I183" s="904" t="s">
        <v>225</v>
      </c>
      <c r="J183" s="906" t="s">
        <v>140</v>
      </c>
      <c r="K183" s="914"/>
      <c r="L183" s="907" t="s">
        <v>479</v>
      </c>
      <c r="M183" s="907" t="s">
        <v>480</v>
      </c>
      <c r="N183" s="907" t="s">
        <v>478</v>
      </c>
      <c r="O183" s="907" t="s">
        <v>479</v>
      </c>
      <c r="P183" s="1138" t="s">
        <v>504</v>
      </c>
      <c r="Q183" s="881"/>
      <c r="R183" s="1037" t="s">
        <v>192</v>
      </c>
      <c r="S183" s="909" t="s">
        <v>505</v>
      </c>
      <c r="T183" s="910" t="s">
        <v>192</v>
      </c>
      <c r="U183" s="1139"/>
      <c r="V183" s="1101"/>
      <c r="W183" s="1101"/>
      <c r="X183" s="386"/>
      <c r="Y183" s="915" t="s">
        <v>303</v>
      </c>
      <c r="Z183" s="1127" t="s">
        <v>497</v>
      </c>
      <c r="AA183" s="1101" t="s">
        <v>498</v>
      </c>
      <c r="AB183" s="1101" t="s">
        <v>498</v>
      </c>
      <c r="AC183" s="1101" t="s">
        <v>495</v>
      </c>
      <c r="AD183" s="1048" t="s">
        <v>488</v>
      </c>
      <c r="AE183" s="1048" t="s">
        <v>489</v>
      </c>
      <c r="AF183" s="916" t="s">
        <v>490</v>
      </c>
      <c r="AG183" s="1092" t="s">
        <v>297</v>
      </c>
      <c r="AH183" s="1091" t="s">
        <v>427</v>
      </c>
      <c r="AI183" s="1063"/>
      <c r="AJ183" s="1063"/>
      <c r="AO183" s="384"/>
      <c r="AP183" s="386"/>
    </row>
    <row r="184" spans="2:42" s="129" customFormat="1" ht="12.75" customHeight="1" x14ac:dyDescent="0.3">
      <c r="B184" s="134"/>
      <c r="C184" s="382"/>
      <c r="D184" s="911"/>
      <c r="E184" s="877"/>
      <c r="F184" s="904" t="s">
        <v>138</v>
      </c>
      <c r="G184" s="905" t="s">
        <v>274</v>
      </c>
      <c r="H184" s="904"/>
      <c r="I184" s="904"/>
      <c r="J184" s="906" t="s">
        <v>452</v>
      </c>
      <c r="K184" s="914"/>
      <c r="L184" s="907" t="s">
        <v>482</v>
      </c>
      <c r="M184" s="907" t="s">
        <v>483</v>
      </c>
      <c r="N184" s="907" t="s">
        <v>481</v>
      </c>
      <c r="O184" s="907" t="s">
        <v>493</v>
      </c>
      <c r="P184" s="1138" t="s">
        <v>269</v>
      </c>
      <c r="Q184" s="881"/>
      <c r="R184" s="908" t="s">
        <v>506</v>
      </c>
      <c r="S184" s="909" t="s">
        <v>484</v>
      </c>
      <c r="T184" s="910" t="s">
        <v>269</v>
      </c>
      <c r="U184" s="887"/>
      <c r="V184" s="1063"/>
      <c r="W184" s="1063"/>
      <c r="Y184" s="915" t="s">
        <v>197</v>
      </c>
      <c r="Z184" s="1129">
        <f>tab!B$50</f>
        <v>0.6</v>
      </c>
      <c r="AA184" s="1101" t="s">
        <v>499</v>
      </c>
      <c r="AB184" s="1101" t="s">
        <v>500</v>
      </c>
      <c r="AC184" s="1101" t="s">
        <v>501</v>
      </c>
      <c r="AD184" s="1048" t="s">
        <v>491</v>
      </c>
      <c r="AE184" s="1048" t="s">
        <v>491</v>
      </c>
      <c r="AF184" s="916" t="s">
        <v>492</v>
      </c>
      <c r="AG184" s="1092"/>
      <c r="AH184" s="1093" t="s">
        <v>224</v>
      </c>
      <c r="AI184" s="1063"/>
      <c r="AJ184" s="1063"/>
      <c r="AP184" s="675"/>
    </row>
    <row r="185" spans="2:42" ht="12.75" customHeight="1" x14ac:dyDescent="0.3">
      <c r="C185" s="114"/>
      <c r="D185" s="912"/>
      <c r="E185" s="912"/>
      <c r="F185" s="912"/>
      <c r="G185" s="912"/>
      <c r="H185" s="912"/>
      <c r="I185" s="912"/>
      <c r="J185" s="912"/>
      <c r="K185" s="913"/>
      <c r="L185" s="912"/>
      <c r="M185" s="912"/>
      <c r="N185" s="912"/>
      <c r="O185" s="912"/>
      <c r="P185" s="912"/>
      <c r="Q185" s="913"/>
      <c r="R185" s="935"/>
      <c r="S185" s="917"/>
      <c r="T185" s="936"/>
      <c r="U185" s="113"/>
      <c r="V185" s="1063"/>
      <c r="W185" s="1063"/>
      <c r="Y185" s="915"/>
      <c r="Z185" s="1064"/>
      <c r="AA185" s="1064"/>
      <c r="AB185" s="1064"/>
      <c r="AC185" s="1064"/>
      <c r="AE185" s="1063"/>
      <c r="AF185" s="1063"/>
      <c r="AG185" s="1092"/>
      <c r="AH185" s="1093"/>
      <c r="AM185" s="8"/>
      <c r="AN185" s="8"/>
      <c r="AP185" s="291"/>
    </row>
    <row r="186" spans="2:42" ht="12.75" customHeight="1" x14ac:dyDescent="0.3">
      <c r="C186" s="114"/>
      <c r="D186" s="353" t="str">
        <f>IF(obp!D144=0,"",obp!D144)</f>
        <v/>
      </c>
      <c r="E186" s="388" t="str">
        <f>IF(obp!E144=0,"-",obp!E144)</f>
        <v>nn</v>
      </c>
      <c r="F186" s="684" t="str">
        <f>IF(obp!F144="","",obp!F144+1)</f>
        <v/>
      </c>
      <c r="G186" s="710" t="str">
        <f>IF(obp!G144="","",obp!G144)</f>
        <v/>
      </c>
      <c r="H186" s="684">
        <f>IF(obp!H144=0,"",obp!H144)</f>
        <v>8</v>
      </c>
      <c r="I186" s="389">
        <f>IF(J186="","",(IF(obp!I144+1&gt;LOOKUP(H186,schaal2019,regels2019),obp!I144,obp!I144+1)))</f>
        <v>12</v>
      </c>
      <c r="J186" s="711">
        <f>IF(obp!J144="","",obp!J144)</f>
        <v>1</v>
      </c>
      <c r="K186" s="370"/>
      <c r="L186" s="1049">
        <f>IF(obp!L144="","",obp!L144)</f>
        <v>0</v>
      </c>
      <c r="M186" s="1049">
        <f>IF(obp!M144="","",obp!M144)</f>
        <v>0</v>
      </c>
      <c r="N186" s="1051">
        <f t="shared" ref="N186:N215" si="78">IF(J186="","",IF((J186*40)&gt;40,40,((J186*40))))</f>
        <v>40</v>
      </c>
      <c r="O186" s="1051"/>
      <c r="P186" s="1125">
        <f t="shared" ref="P186:P215" si="79">IF(J186="","",(SUM(L186:O186)))</f>
        <v>40</v>
      </c>
      <c r="Q186" s="472"/>
      <c r="R186" s="923">
        <f>IF(J186="","",(((1659*J186)-P186)*AB186))</f>
        <v>61326.431826401451</v>
      </c>
      <c r="S186" s="923">
        <f t="shared" ref="S186:S215" si="80">IF(J186="","",(P186*AC186)+(AA186*AD186)+((AE186*AA186*(1-AF186))))</f>
        <v>1515.1681735985535</v>
      </c>
      <c r="T186" s="925">
        <f t="shared" ref="T186:T215" si="81">IF(J186="","",(R186+S186))</f>
        <v>62841.600000000006</v>
      </c>
      <c r="U186" s="545"/>
      <c r="V186" s="1103"/>
      <c r="W186" s="1103"/>
      <c r="X186" s="1060"/>
      <c r="Y186" s="1095">
        <f t="shared" ref="Y186:Y215" si="82">ROUND(5/12*VLOOKUP(H186,salaris2020,I186+1,FALSE)+7/12*VLOOKUP(H186,salaris2020,I186+1,FALSE),0)</f>
        <v>3273</v>
      </c>
      <c r="Z186" s="1094">
        <f>tab!B$50</f>
        <v>0.6</v>
      </c>
      <c r="AA186" s="1126">
        <f t="shared" ref="AA186:AA215" si="83">(Y186*12/1659)</f>
        <v>23.674502712477395</v>
      </c>
      <c r="AB186" s="1126">
        <f t="shared" ref="AB186:AB215" si="84">(Y186*12*(1+Z186))/1659</f>
        <v>37.879204339963835</v>
      </c>
      <c r="AC186" s="1126">
        <f t="shared" ref="AC186:AC215" si="85">AB186-AA186</f>
        <v>14.20470162748644</v>
      </c>
      <c r="AD186" s="1128">
        <f t="shared" ref="AD186:AD215" si="86">(N186+O186)</f>
        <v>40</v>
      </c>
      <c r="AE186" s="1128">
        <f t="shared" ref="AE186:AE215" si="87">(L186+M186)</f>
        <v>0</v>
      </c>
      <c r="AF186" s="1096">
        <f>IF(H186&gt;8,tab!$B$51,tab!$B$54)</f>
        <v>0.4</v>
      </c>
      <c r="AG186" s="1097">
        <f t="shared" ref="AG186:AG215" si="88">IF(F186&lt;25,0,IF(F186=25,25,IF(F186&lt;40,0,IF(F186=40,40,IF(F186&gt;=40,0)))))</f>
        <v>0</v>
      </c>
      <c r="AH186" s="1093">
        <f t="shared" ref="AH186:AH215" si="89">IF(AG186=25,(Y186*1.08*(J186)/2),IF(AG186=40,(Y186*1.08*(J186)),IF(AG186=0,0)))</f>
        <v>0</v>
      </c>
      <c r="AK186" s="176"/>
    </row>
    <row r="187" spans="2:42" ht="12.75" customHeight="1" x14ac:dyDescent="0.3">
      <c r="C187" s="114"/>
      <c r="D187" s="353" t="str">
        <f>IF(obp!D145=0,"",obp!D145)</f>
        <v/>
      </c>
      <c r="E187" s="388" t="str">
        <f>IF(obp!E145=0,"-",obp!E145)</f>
        <v/>
      </c>
      <c r="F187" s="684" t="str">
        <f>IF(obp!F145="","",obp!F145+1)</f>
        <v/>
      </c>
      <c r="G187" s="710" t="str">
        <f>IF(obp!G145="","",obp!G145)</f>
        <v/>
      </c>
      <c r="H187" s="684" t="str">
        <f>IF(obp!H145=0,"",obp!H145)</f>
        <v/>
      </c>
      <c r="I187" s="389" t="str">
        <f>IF(J187="","",(IF(obp!I145+1&gt;LOOKUP(H187,schaal2019,regels2019),obp!I145,obp!I145+1)))</f>
        <v/>
      </c>
      <c r="J187" s="711" t="str">
        <f>IF(obp!J145="","",obp!J145)</f>
        <v/>
      </c>
      <c r="K187" s="370"/>
      <c r="L187" s="1049">
        <f>IF(obp!L145="","",obp!L145)</f>
        <v>0</v>
      </c>
      <c r="M187" s="1049">
        <f>IF(obp!M145="","",obp!M145)</f>
        <v>0</v>
      </c>
      <c r="N187" s="1051" t="str">
        <f t="shared" si="78"/>
        <v/>
      </c>
      <c r="O187" s="1051"/>
      <c r="P187" s="1125" t="str">
        <f t="shared" si="79"/>
        <v/>
      </c>
      <c r="Q187" s="472"/>
      <c r="R187" s="923" t="str">
        <f t="shared" ref="R187:R215" si="90">IF(J187="","",(((1659*J187)-P187)*AB187))</f>
        <v/>
      </c>
      <c r="S187" s="923" t="str">
        <f t="shared" si="80"/>
        <v/>
      </c>
      <c r="T187" s="925" t="str">
        <f t="shared" si="81"/>
        <v/>
      </c>
      <c r="U187" s="545"/>
      <c r="V187" s="1103"/>
      <c r="W187" s="1103"/>
      <c r="X187" s="1060"/>
      <c r="Y187" s="1095" t="e">
        <f t="shared" si="82"/>
        <v>#VALUE!</v>
      </c>
      <c r="Z187" s="1094">
        <f>tab!B$50</f>
        <v>0.6</v>
      </c>
      <c r="AA187" s="1126" t="e">
        <f t="shared" si="83"/>
        <v>#VALUE!</v>
      </c>
      <c r="AB187" s="1126" t="e">
        <f t="shared" si="84"/>
        <v>#VALUE!</v>
      </c>
      <c r="AC187" s="1126" t="e">
        <f t="shared" si="85"/>
        <v>#VALUE!</v>
      </c>
      <c r="AD187" s="1128" t="e">
        <f t="shared" si="86"/>
        <v>#VALUE!</v>
      </c>
      <c r="AE187" s="1128">
        <f t="shared" si="87"/>
        <v>0</v>
      </c>
      <c r="AF187" s="1096">
        <f>IF(H187&gt;8,tab!$B$51,tab!$B$54)</f>
        <v>0.5</v>
      </c>
      <c r="AG187" s="1097">
        <f t="shared" si="88"/>
        <v>0</v>
      </c>
      <c r="AH187" s="1093">
        <f t="shared" si="89"/>
        <v>0</v>
      </c>
      <c r="AK187" s="176"/>
    </row>
    <row r="188" spans="2:42" ht="12.75" customHeight="1" x14ac:dyDescent="0.3">
      <c r="C188" s="114"/>
      <c r="D188" s="353" t="str">
        <f>IF(obp!D146=0,"",obp!D146)</f>
        <v/>
      </c>
      <c r="E188" s="388" t="str">
        <f>IF(obp!E146=0,"-",obp!E146)</f>
        <v/>
      </c>
      <c r="F188" s="684" t="str">
        <f>IF(obp!F146="","",obp!F146+1)</f>
        <v/>
      </c>
      <c r="G188" s="710" t="str">
        <f>IF(obp!G146="","",obp!G146)</f>
        <v/>
      </c>
      <c r="H188" s="684" t="str">
        <f>IF(obp!H146=0,"",obp!H146)</f>
        <v/>
      </c>
      <c r="I188" s="389" t="str">
        <f>IF(J188="","",(IF(obp!I146+1&gt;LOOKUP(H188,schaal2019,regels2019),obp!I146,obp!I146+1)))</f>
        <v/>
      </c>
      <c r="J188" s="711" t="str">
        <f>IF(obp!J146="","",obp!J146)</f>
        <v/>
      </c>
      <c r="K188" s="370"/>
      <c r="L188" s="1049">
        <f>IF(obp!L146="","",obp!L146)</f>
        <v>0</v>
      </c>
      <c r="M188" s="1049">
        <f>IF(obp!M146="","",obp!M146)</f>
        <v>0</v>
      </c>
      <c r="N188" s="1051" t="str">
        <f t="shared" si="78"/>
        <v/>
      </c>
      <c r="O188" s="1051"/>
      <c r="P188" s="1125" t="str">
        <f t="shared" si="79"/>
        <v/>
      </c>
      <c r="Q188" s="472"/>
      <c r="R188" s="923" t="str">
        <f t="shared" si="90"/>
        <v/>
      </c>
      <c r="S188" s="923" t="str">
        <f t="shared" si="80"/>
        <v/>
      </c>
      <c r="T188" s="925" t="str">
        <f t="shared" si="81"/>
        <v/>
      </c>
      <c r="U188" s="545"/>
      <c r="V188" s="1103"/>
      <c r="W188" s="1103"/>
      <c r="X188" s="1060"/>
      <c r="Y188" s="1095" t="e">
        <f t="shared" si="82"/>
        <v>#VALUE!</v>
      </c>
      <c r="Z188" s="1094">
        <f>tab!B$50</f>
        <v>0.6</v>
      </c>
      <c r="AA188" s="1126" t="e">
        <f t="shared" si="83"/>
        <v>#VALUE!</v>
      </c>
      <c r="AB188" s="1126" t="e">
        <f t="shared" si="84"/>
        <v>#VALUE!</v>
      </c>
      <c r="AC188" s="1126" t="e">
        <f t="shared" si="85"/>
        <v>#VALUE!</v>
      </c>
      <c r="AD188" s="1128" t="e">
        <f t="shared" si="86"/>
        <v>#VALUE!</v>
      </c>
      <c r="AE188" s="1128">
        <f t="shared" si="87"/>
        <v>0</v>
      </c>
      <c r="AF188" s="1096">
        <f>IF(H188&gt;8,tab!$B$51,tab!$B$54)</f>
        <v>0.5</v>
      </c>
      <c r="AG188" s="1097">
        <f t="shared" si="88"/>
        <v>0</v>
      </c>
      <c r="AH188" s="1093">
        <f t="shared" si="89"/>
        <v>0</v>
      </c>
      <c r="AK188" s="176"/>
    </row>
    <row r="189" spans="2:42" ht="12.75" customHeight="1" x14ac:dyDescent="0.3">
      <c r="C189" s="114"/>
      <c r="D189" s="353" t="str">
        <f>IF(obp!D147=0,"",obp!D147)</f>
        <v/>
      </c>
      <c r="E189" s="388" t="str">
        <f>IF(obp!E147=0,"-",obp!E147)</f>
        <v/>
      </c>
      <c r="F189" s="684" t="str">
        <f>IF(obp!F147="","",obp!F147+1)</f>
        <v/>
      </c>
      <c r="G189" s="710" t="str">
        <f>IF(obp!G147="","",obp!G147)</f>
        <v/>
      </c>
      <c r="H189" s="684" t="str">
        <f>IF(obp!H147=0,"",obp!H147)</f>
        <v/>
      </c>
      <c r="I189" s="389" t="str">
        <f>IF(J189="","",(IF(obp!I147+1&gt;LOOKUP(H189,schaal2019,regels2019),obp!I147,obp!I147+1)))</f>
        <v/>
      </c>
      <c r="J189" s="711" t="str">
        <f>IF(obp!J147="","",obp!J147)</f>
        <v/>
      </c>
      <c r="K189" s="370"/>
      <c r="L189" s="1049">
        <f>IF(obp!L147="","",obp!L147)</f>
        <v>0</v>
      </c>
      <c r="M189" s="1049">
        <f>IF(obp!M147="","",obp!M147)</f>
        <v>0</v>
      </c>
      <c r="N189" s="1051" t="str">
        <f t="shared" si="78"/>
        <v/>
      </c>
      <c r="O189" s="1051"/>
      <c r="P189" s="1125" t="str">
        <f t="shared" si="79"/>
        <v/>
      </c>
      <c r="Q189" s="472"/>
      <c r="R189" s="923" t="str">
        <f t="shared" si="90"/>
        <v/>
      </c>
      <c r="S189" s="923" t="str">
        <f t="shared" si="80"/>
        <v/>
      </c>
      <c r="T189" s="925" t="str">
        <f t="shared" si="81"/>
        <v/>
      </c>
      <c r="U189" s="545"/>
      <c r="V189" s="1103"/>
      <c r="W189" s="1103"/>
      <c r="X189" s="1060"/>
      <c r="Y189" s="1095" t="e">
        <f t="shared" si="82"/>
        <v>#VALUE!</v>
      </c>
      <c r="Z189" s="1094">
        <f>tab!B$50</f>
        <v>0.6</v>
      </c>
      <c r="AA189" s="1126" t="e">
        <f t="shared" si="83"/>
        <v>#VALUE!</v>
      </c>
      <c r="AB189" s="1126" t="e">
        <f t="shared" si="84"/>
        <v>#VALUE!</v>
      </c>
      <c r="AC189" s="1126" t="e">
        <f t="shared" si="85"/>
        <v>#VALUE!</v>
      </c>
      <c r="AD189" s="1128" t="e">
        <f t="shared" si="86"/>
        <v>#VALUE!</v>
      </c>
      <c r="AE189" s="1128">
        <f t="shared" si="87"/>
        <v>0</v>
      </c>
      <c r="AF189" s="1096">
        <f>IF(H189&gt;8,tab!$B$51,tab!$B$54)</f>
        <v>0.5</v>
      </c>
      <c r="AG189" s="1097">
        <f t="shared" si="88"/>
        <v>0</v>
      </c>
      <c r="AH189" s="1093">
        <f t="shared" si="89"/>
        <v>0</v>
      </c>
      <c r="AK189" s="176"/>
    </row>
    <row r="190" spans="2:42" ht="12.75" customHeight="1" x14ac:dyDescent="0.3">
      <c r="C190" s="114"/>
      <c r="D190" s="353" t="str">
        <f>IF(obp!D148=0,"",obp!D148)</f>
        <v/>
      </c>
      <c r="E190" s="388" t="str">
        <f>IF(obp!E148=0,"-",obp!E148)</f>
        <v/>
      </c>
      <c r="F190" s="684" t="str">
        <f>IF(obp!F148="","",obp!F148+1)</f>
        <v/>
      </c>
      <c r="G190" s="710" t="str">
        <f>IF(obp!G148="","",obp!G148)</f>
        <v/>
      </c>
      <c r="H190" s="684" t="str">
        <f>IF(obp!H148=0,"",obp!H148)</f>
        <v/>
      </c>
      <c r="I190" s="389" t="str">
        <f>IF(J190="","",(IF(obp!I148+1&gt;LOOKUP(H190,schaal2019,regels2019),obp!I148,obp!I148+1)))</f>
        <v/>
      </c>
      <c r="J190" s="711" t="str">
        <f>IF(obp!J148="","",obp!J148)</f>
        <v/>
      </c>
      <c r="K190" s="370"/>
      <c r="L190" s="1049">
        <f>IF(obp!L148="","",obp!L148)</f>
        <v>0</v>
      </c>
      <c r="M190" s="1049">
        <f>IF(obp!M148="","",obp!M148)</f>
        <v>0</v>
      </c>
      <c r="N190" s="1051" t="str">
        <f t="shared" si="78"/>
        <v/>
      </c>
      <c r="O190" s="1051"/>
      <c r="P190" s="1125" t="str">
        <f t="shared" si="79"/>
        <v/>
      </c>
      <c r="Q190" s="472"/>
      <c r="R190" s="923" t="str">
        <f t="shared" si="90"/>
        <v/>
      </c>
      <c r="S190" s="923" t="str">
        <f t="shared" si="80"/>
        <v/>
      </c>
      <c r="T190" s="925" t="str">
        <f t="shared" si="81"/>
        <v/>
      </c>
      <c r="U190" s="545"/>
      <c r="V190" s="1103"/>
      <c r="W190" s="1103"/>
      <c r="X190" s="1060"/>
      <c r="Y190" s="1095" t="e">
        <f t="shared" si="82"/>
        <v>#VALUE!</v>
      </c>
      <c r="Z190" s="1094">
        <f>tab!B$50</f>
        <v>0.6</v>
      </c>
      <c r="AA190" s="1126" t="e">
        <f t="shared" si="83"/>
        <v>#VALUE!</v>
      </c>
      <c r="AB190" s="1126" t="e">
        <f t="shared" si="84"/>
        <v>#VALUE!</v>
      </c>
      <c r="AC190" s="1126" t="e">
        <f t="shared" si="85"/>
        <v>#VALUE!</v>
      </c>
      <c r="AD190" s="1128" t="e">
        <f t="shared" si="86"/>
        <v>#VALUE!</v>
      </c>
      <c r="AE190" s="1128">
        <f t="shared" si="87"/>
        <v>0</v>
      </c>
      <c r="AF190" s="1096">
        <f>IF(H190&gt;8,tab!$B$51,tab!$B$54)</f>
        <v>0.5</v>
      </c>
      <c r="AG190" s="1097">
        <f t="shared" si="88"/>
        <v>0</v>
      </c>
      <c r="AH190" s="1093">
        <f t="shared" si="89"/>
        <v>0</v>
      </c>
      <c r="AK190" s="176"/>
    </row>
    <row r="191" spans="2:42" ht="12.75" customHeight="1" x14ac:dyDescent="0.3">
      <c r="C191" s="114"/>
      <c r="D191" s="353" t="str">
        <f>IF(obp!D149=0,"",obp!D149)</f>
        <v/>
      </c>
      <c r="E191" s="388" t="str">
        <f>IF(obp!E149=0,"-",obp!E149)</f>
        <v/>
      </c>
      <c r="F191" s="684" t="str">
        <f>IF(obp!F149="","",obp!F149+1)</f>
        <v/>
      </c>
      <c r="G191" s="710" t="str">
        <f>IF(obp!G149="","",obp!G149)</f>
        <v/>
      </c>
      <c r="H191" s="684" t="str">
        <f>IF(obp!H149=0,"",obp!H149)</f>
        <v/>
      </c>
      <c r="I191" s="389" t="str">
        <f>IF(J191="","",(IF(obp!I149+1&gt;LOOKUP(H191,schaal2019,regels2019),obp!I149,obp!I149+1)))</f>
        <v/>
      </c>
      <c r="J191" s="711" t="str">
        <f>IF(obp!J149="","",obp!J149)</f>
        <v/>
      </c>
      <c r="K191" s="370"/>
      <c r="L191" s="1049">
        <f>IF(obp!L149="","",obp!L149)</f>
        <v>0</v>
      </c>
      <c r="M191" s="1049">
        <f>IF(obp!M149="","",obp!M149)</f>
        <v>0</v>
      </c>
      <c r="N191" s="1051" t="str">
        <f t="shared" si="78"/>
        <v/>
      </c>
      <c r="O191" s="1051"/>
      <c r="P191" s="1125" t="str">
        <f t="shared" si="79"/>
        <v/>
      </c>
      <c r="Q191" s="472"/>
      <c r="R191" s="923" t="str">
        <f t="shared" si="90"/>
        <v/>
      </c>
      <c r="S191" s="923" t="str">
        <f t="shared" si="80"/>
        <v/>
      </c>
      <c r="T191" s="925" t="str">
        <f t="shared" si="81"/>
        <v/>
      </c>
      <c r="U191" s="545"/>
      <c r="V191" s="1103"/>
      <c r="W191" s="1103"/>
      <c r="X191" s="1060"/>
      <c r="Y191" s="1095" t="e">
        <f t="shared" si="82"/>
        <v>#VALUE!</v>
      </c>
      <c r="Z191" s="1094">
        <f>tab!B$50</f>
        <v>0.6</v>
      </c>
      <c r="AA191" s="1126" t="e">
        <f t="shared" si="83"/>
        <v>#VALUE!</v>
      </c>
      <c r="AB191" s="1126" t="e">
        <f t="shared" si="84"/>
        <v>#VALUE!</v>
      </c>
      <c r="AC191" s="1126" t="e">
        <f t="shared" si="85"/>
        <v>#VALUE!</v>
      </c>
      <c r="AD191" s="1128" t="e">
        <f t="shared" si="86"/>
        <v>#VALUE!</v>
      </c>
      <c r="AE191" s="1128">
        <f t="shared" si="87"/>
        <v>0</v>
      </c>
      <c r="AF191" s="1096">
        <f>IF(H191&gt;8,tab!$B$51,tab!$B$54)</f>
        <v>0.5</v>
      </c>
      <c r="AG191" s="1097">
        <f t="shared" si="88"/>
        <v>0</v>
      </c>
      <c r="AH191" s="1093">
        <f t="shared" si="89"/>
        <v>0</v>
      </c>
      <c r="AK191" s="176"/>
    </row>
    <row r="192" spans="2:42" ht="12.75" customHeight="1" x14ac:dyDescent="0.3">
      <c r="C192" s="114"/>
      <c r="D192" s="353" t="str">
        <f>IF(obp!D150=0,"",obp!D150)</f>
        <v/>
      </c>
      <c r="E192" s="388" t="str">
        <f>IF(obp!E150=0,"-",obp!E150)</f>
        <v/>
      </c>
      <c r="F192" s="684" t="str">
        <f>IF(obp!F150="","",obp!F150+1)</f>
        <v/>
      </c>
      <c r="G192" s="710" t="str">
        <f>IF(obp!G150="","",obp!G150)</f>
        <v/>
      </c>
      <c r="H192" s="684" t="str">
        <f>IF(obp!H150=0,"",obp!H150)</f>
        <v/>
      </c>
      <c r="I192" s="389" t="str">
        <f>IF(J192="","",(IF(obp!I150+1&gt;LOOKUP(H192,schaal2019,regels2019),obp!I150,obp!I150+1)))</f>
        <v/>
      </c>
      <c r="J192" s="711" t="str">
        <f>IF(obp!J150="","",obp!J150)</f>
        <v/>
      </c>
      <c r="K192" s="370"/>
      <c r="L192" s="1049">
        <f>IF(obp!L150="","",obp!L150)</f>
        <v>0</v>
      </c>
      <c r="M192" s="1049">
        <f>IF(obp!M150="","",obp!M150)</f>
        <v>0</v>
      </c>
      <c r="N192" s="1051" t="str">
        <f t="shared" si="78"/>
        <v/>
      </c>
      <c r="O192" s="1051"/>
      <c r="P192" s="1125" t="str">
        <f t="shared" si="79"/>
        <v/>
      </c>
      <c r="Q192" s="472"/>
      <c r="R192" s="923" t="str">
        <f t="shared" si="90"/>
        <v/>
      </c>
      <c r="S192" s="923" t="str">
        <f t="shared" si="80"/>
        <v/>
      </c>
      <c r="T192" s="925" t="str">
        <f t="shared" si="81"/>
        <v/>
      </c>
      <c r="U192" s="545"/>
      <c r="V192" s="1103"/>
      <c r="W192" s="1103"/>
      <c r="X192" s="1060"/>
      <c r="Y192" s="1095" t="e">
        <f t="shared" si="82"/>
        <v>#VALUE!</v>
      </c>
      <c r="Z192" s="1094">
        <f>tab!B$50</f>
        <v>0.6</v>
      </c>
      <c r="AA192" s="1126" t="e">
        <f t="shared" si="83"/>
        <v>#VALUE!</v>
      </c>
      <c r="AB192" s="1126" t="e">
        <f t="shared" si="84"/>
        <v>#VALUE!</v>
      </c>
      <c r="AC192" s="1126" t="e">
        <f t="shared" si="85"/>
        <v>#VALUE!</v>
      </c>
      <c r="AD192" s="1128" t="e">
        <f t="shared" si="86"/>
        <v>#VALUE!</v>
      </c>
      <c r="AE192" s="1128">
        <f t="shared" si="87"/>
        <v>0</v>
      </c>
      <c r="AF192" s="1096">
        <f>IF(H192&gt;8,tab!$B$51,tab!$B$54)</f>
        <v>0.5</v>
      </c>
      <c r="AG192" s="1097">
        <f t="shared" si="88"/>
        <v>0</v>
      </c>
      <c r="AH192" s="1093">
        <f t="shared" si="89"/>
        <v>0</v>
      </c>
      <c r="AK192" s="176"/>
    </row>
    <row r="193" spans="3:37" ht="12.75" customHeight="1" x14ac:dyDescent="0.3">
      <c r="C193" s="114"/>
      <c r="D193" s="353" t="str">
        <f>IF(obp!D151=0,"",obp!D151)</f>
        <v/>
      </c>
      <c r="E193" s="388" t="str">
        <f>IF(obp!E151=0,"-",obp!E151)</f>
        <v/>
      </c>
      <c r="F193" s="684" t="str">
        <f>IF(obp!F151="","",obp!F151+1)</f>
        <v/>
      </c>
      <c r="G193" s="710" t="str">
        <f>IF(obp!G151="","",obp!G151)</f>
        <v/>
      </c>
      <c r="H193" s="684" t="str">
        <f>IF(obp!H151=0,"",obp!H151)</f>
        <v/>
      </c>
      <c r="I193" s="389" t="str">
        <f>IF(J193="","",(IF(obp!I151+1&gt;LOOKUP(H193,schaal2019,regels2019),obp!I151,obp!I151+1)))</f>
        <v/>
      </c>
      <c r="J193" s="711" t="str">
        <f>IF(obp!J151="","",obp!J151)</f>
        <v/>
      </c>
      <c r="K193" s="370"/>
      <c r="L193" s="1049">
        <f>IF(obp!L151="","",obp!L151)</f>
        <v>0</v>
      </c>
      <c r="M193" s="1049">
        <f>IF(obp!M151="","",obp!M151)</f>
        <v>0</v>
      </c>
      <c r="N193" s="1051" t="str">
        <f t="shared" si="78"/>
        <v/>
      </c>
      <c r="O193" s="1051"/>
      <c r="P193" s="1125" t="str">
        <f t="shared" si="79"/>
        <v/>
      </c>
      <c r="Q193" s="472"/>
      <c r="R193" s="923" t="str">
        <f t="shared" si="90"/>
        <v/>
      </c>
      <c r="S193" s="923" t="str">
        <f t="shared" si="80"/>
        <v/>
      </c>
      <c r="T193" s="925" t="str">
        <f t="shared" si="81"/>
        <v/>
      </c>
      <c r="U193" s="545"/>
      <c r="V193" s="1103"/>
      <c r="W193" s="1103"/>
      <c r="X193" s="1060"/>
      <c r="Y193" s="1095" t="e">
        <f t="shared" si="82"/>
        <v>#VALUE!</v>
      </c>
      <c r="Z193" s="1094">
        <f>tab!B$50</f>
        <v>0.6</v>
      </c>
      <c r="AA193" s="1126" t="e">
        <f t="shared" si="83"/>
        <v>#VALUE!</v>
      </c>
      <c r="AB193" s="1126" t="e">
        <f t="shared" si="84"/>
        <v>#VALUE!</v>
      </c>
      <c r="AC193" s="1126" t="e">
        <f t="shared" si="85"/>
        <v>#VALUE!</v>
      </c>
      <c r="AD193" s="1128" t="e">
        <f t="shared" si="86"/>
        <v>#VALUE!</v>
      </c>
      <c r="AE193" s="1128">
        <f t="shared" si="87"/>
        <v>0</v>
      </c>
      <c r="AF193" s="1096">
        <f>IF(H193&gt;8,tab!$B$51,tab!$B$54)</f>
        <v>0.5</v>
      </c>
      <c r="AG193" s="1097">
        <f t="shared" si="88"/>
        <v>0</v>
      </c>
      <c r="AH193" s="1093">
        <f t="shared" si="89"/>
        <v>0</v>
      </c>
      <c r="AK193" s="176"/>
    </row>
    <row r="194" spans="3:37" ht="12.75" customHeight="1" x14ac:dyDescent="0.3">
      <c r="C194" s="114"/>
      <c r="D194" s="353" t="str">
        <f>IF(obp!D152=0,"",obp!D152)</f>
        <v/>
      </c>
      <c r="E194" s="388" t="str">
        <f>IF(obp!E152=0,"-",obp!E152)</f>
        <v/>
      </c>
      <c r="F194" s="684" t="str">
        <f>IF(obp!F152="","",obp!F152+1)</f>
        <v/>
      </c>
      <c r="G194" s="710" t="str">
        <f>IF(obp!G152="","",obp!G152)</f>
        <v/>
      </c>
      <c r="H194" s="684" t="str">
        <f>IF(obp!H152=0,"",obp!H152)</f>
        <v/>
      </c>
      <c r="I194" s="389" t="str">
        <f>IF(J194="","",(IF(obp!I152+1&gt;LOOKUP(H194,schaal2019,regels2019),obp!I152,obp!I152+1)))</f>
        <v/>
      </c>
      <c r="J194" s="711" t="str">
        <f>IF(obp!J152="","",obp!J152)</f>
        <v/>
      </c>
      <c r="K194" s="370"/>
      <c r="L194" s="1049">
        <f>IF(obp!L152="","",obp!L152)</f>
        <v>0</v>
      </c>
      <c r="M194" s="1049">
        <f>IF(obp!M152="","",obp!M152)</f>
        <v>0</v>
      </c>
      <c r="N194" s="1051" t="str">
        <f t="shared" si="78"/>
        <v/>
      </c>
      <c r="O194" s="1051"/>
      <c r="P194" s="1125" t="str">
        <f t="shared" si="79"/>
        <v/>
      </c>
      <c r="Q194" s="472"/>
      <c r="R194" s="923" t="str">
        <f t="shared" si="90"/>
        <v/>
      </c>
      <c r="S194" s="923" t="str">
        <f t="shared" si="80"/>
        <v/>
      </c>
      <c r="T194" s="925" t="str">
        <f t="shared" si="81"/>
        <v/>
      </c>
      <c r="U194" s="545"/>
      <c r="V194" s="1103"/>
      <c r="W194" s="1103"/>
      <c r="X194" s="1060"/>
      <c r="Y194" s="1095" t="e">
        <f t="shared" si="82"/>
        <v>#VALUE!</v>
      </c>
      <c r="Z194" s="1094">
        <f>tab!B$50</f>
        <v>0.6</v>
      </c>
      <c r="AA194" s="1126" t="e">
        <f t="shared" si="83"/>
        <v>#VALUE!</v>
      </c>
      <c r="AB194" s="1126" t="e">
        <f t="shared" si="84"/>
        <v>#VALUE!</v>
      </c>
      <c r="AC194" s="1126" t="e">
        <f t="shared" si="85"/>
        <v>#VALUE!</v>
      </c>
      <c r="AD194" s="1128" t="e">
        <f t="shared" si="86"/>
        <v>#VALUE!</v>
      </c>
      <c r="AE194" s="1128">
        <f t="shared" si="87"/>
        <v>0</v>
      </c>
      <c r="AF194" s="1096">
        <f>IF(H194&gt;8,tab!$B$51,tab!$B$54)</f>
        <v>0.5</v>
      </c>
      <c r="AG194" s="1097">
        <f t="shared" si="88"/>
        <v>0</v>
      </c>
      <c r="AH194" s="1093">
        <f t="shared" si="89"/>
        <v>0</v>
      </c>
      <c r="AK194" s="176"/>
    </row>
    <row r="195" spans="3:37" ht="12.75" customHeight="1" x14ac:dyDescent="0.3">
      <c r="C195" s="114"/>
      <c r="D195" s="353" t="str">
        <f>IF(obp!D153=0,"",obp!D153)</f>
        <v/>
      </c>
      <c r="E195" s="388" t="str">
        <f>IF(obp!E153=0,"-",obp!E153)</f>
        <v/>
      </c>
      <c r="F195" s="684" t="str">
        <f>IF(obp!F153="","",obp!F153+1)</f>
        <v/>
      </c>
      <c r="G195" s="710" t="str">
        <f>IF(obp!G153="","",obp!G153)</f>
        <v/>
      </c>
      <c r="H195" s="684" t="str">
        <f>IF(obp!H153=0,"",obp!H153)</f>
        <v/>
      </c>
      <c r="I195" s="389" t="str">
        <f>IF(J195="","",(IF(obp!I153+1&gt;LOOKUP(H195,schaal2019,regels2019),obp!I153,obp!I153+1)))</f>
        <v/>
      </c>
      <c r="J195" s="711" t="str">
        <f>IF(obp!J153="","",obp!J153)</f>
        <v/>
      </c>
      <c r="K195" s="370"/>
      <c r="L195" s="1049">
        <f>IF(obp!L153="","",obp!L153)</f>
        <v>0</v>
      </c>
      <c r="M195" s="1049">
        <f>IF(obp!M153="","",obp!M153)</f>
        <v>0</v>
      </c>
      <c r="N195" s="1051" t="str">
        <f t="shared" si="78"/>
        <v/>
      </c>
      <c r="O195" s="1051"/>
      <c r="P195" s="1125" t="str">
        <f t="shared" si="79"/>
        <v/>
      </c>
      <c r="Q195" s="472"/>
      <c r="R195" s="923" t="str">
        <f t="shared" si="90"/>
        <v/>
      </c>
      <c r="S195" s="923" t="str">
        <f t="shared" si="80"/>
        <v/>
      </c>
      <c r="T195" s="925" t="str">
        <f t="shared" si="81"/>
        <v/>
      </c>
      <c r="U195" s="545"/>
      <c r="V195" s="1103"/>
      <c r="W195" s="1103"/>
      <c r="X195" s="1060"/>
      <c r="Y195" s="1095" t="e">
        <f t="shared" si="82"/>
        <v>#VALUE!</v>
      </c>
      <c r="Z195" s="1094">
        <f>tab!B$50</f>
        <v>0.6</v>
      </c>
      <c r="AA195" s="1126" t="e">
        <f t="shared" si="83"/>
        <v>#VALUE!</v>
      </c>
      <c r="AB195" s="1126" t="e">
        <f t="shared" si="84"/>
        <v>#VALUE!</v>
      </c>
      <c r="AC195" s="1126" t="e">
        <f t="shared" si="85"/>
        <v>#VALUE!</v>
      </c>
      <c r="AD195" s="1128" t="e">
        <f t="shared" si="86"/>
        <v>#VALUE!</v>
      </c>
      <c r="AE195" s="1128">
        <f t="shared" si="87"/>
        <v>0</v>
      </c>
      <c r="AF195" s="1096">
        <f>IF(H195&gt;8,tab!$B$51,tab!$B$54)</f>
        <v>0.5</v>
      </c>
      <c r="AG195" s="1097">
        <f t="shared" si="88"/>
        <v>0</v>
      </c>
      <c r="AH195" s="1093">
        <f t="shared" si="89"/>
        <v>0</v>
      </c>
      <c r="AK195" s="176"/>
    </row>
    <row r="196" spans="3:37" ht="12.75" customHeight="1" x14ac:dyDescent="0.3">
      <c r="C196" s="114"/>
      <c r="D196" s="353" t="str">
        <f>IF(obp!D154=0,"",obp!D154)</f>
        <v/>
      </c>
      <c r="E196" s="388" t="str">
        <f>IF(obp!E154=0,"-",obp!E154)</f>
        <v/>
      </c>
      <c r="F196" s="684" t="str">
        <f>IF(obp!F154="","",obp!F154+1)</f>
        <v/>
      </c>
      <c r="G196" s="710" t="str">
        <f>IF(obp!G154="","",obp!G154)</f>
        <v/>
      </c>
      <c r="H196" s="684" t="str">
        <f>IF(obp!H154=0,"",obp!H154)</f>
        <v/>
      </c>
      <c r="I196" s="389" t="str">
        <f>IF(J196="","",(IF(obp!I154+1&gt;LOOKUP(H196,schaal2019,regels2019),obp!I154,obp!I154+1)))</f>
        <v/>
      </c>
      <c r="J196" s="711" t="str">
        <f>IF(obp!J154="","",obp!J154)</f>
        <v/>
      </c>
      <c r="K196" s="370"/>
      <c r="L196" s="1049">
        <f>IF(obp!L154="","",obp!L154)</f>
        <v>0</v>
      </c>
      <c r="M196" s="1049">
        <f>IF(obp!M154="","",obp!M154)</f>
        <v>0</v>
      </c>
      <c r="N196" s="1051" t="str">
        <f t="shared" si="78"/>
        <v/>
      </c>
      <c r="O196" s="1051"/>
      <c r="P196" s="1125" t="str">
        <f t="shared" si="79"/>
        <v/>
      </c>
      <c r="Q196" s="472"/>
      <c r="R196" s="923" t="str">
        <f t="shared" si="90"/>
        <v/>
      </c>
      <c r="S196" s="923" t="str">
        <f t="shared" si="80"/>
        <v/>
      </c>
      <c r="T196" s="925" t="str">
        <f t="shared" si="81"/>
        <v/>
      </c>
      <c r="U196" s="545"/>
      <c r="V196" s="1103"/>
      <c r="W196" s="1103"/>
      <c r="X196" s="1060"/>
      <c r="Y196" s="1095" t="e">
        <f t="shared" si="82"/>
        <v>#VALUE!</v>
      </c>
      <c r="Z196" s="1094">
        <f>tab!B$50</f>
        <v>0.6</v>
      </c>
      <c r="AA196" s="1126" t="e">
        <f t="shared" si="83"/>
        <v>#VALUE!</v>
      </c>
      <c r="AB196" s="1126" t="e">
        <f t="shared" si="84"/>
        <v>#VALUE!</v>
      </c>
      <c r="AC196" s="1126" t="e">
        <f t="shared" si="85"/>
        <v>#VALUE!</v>
      </c>
      <c r="AD196" s="1128" t="e">
        <f t="shared" si="86"/>
        <v>#VALUE!</v>
      </c>
      <c r="AE196" s="1128">
        <f t="shared" si="87"/>
        <v>0</v>
      </c>
      <c r="AF196" s="1096">
        <f>IF(H196&gt;8,tab!$B$51,tab!$B$54)</f>
        <v>0.5</v>
      </c>
      <c r="AG196" s="1097">
        <f t="shared" si="88"/>
        <v>0</v>
      </c>
      <c r="AH196" s="1093">
        <f t="shared" si="89"/>
        <v>0</v>
      </c>
      <c r="AK196" s="176"/>
    </row>
    <row r="197" spans="3:37" ht="12.75" customHeight="1" x14ac:dyDescent="0.3">
      <c r="C197" s="114"/>
      <c r="D197" s="353" t="str">
        <f>IF(obp!D155=0,"",obp!D155)</f>
        <v/>
      </c>
      <c r="E197" s="388" t="str">
        <f>IF(obp!E155=0,"-",obp!E155)</f>
        <v/>
      </c>
      <c r="F197" s="684" t="str">
        <f>IF(obp!F155="","",obp!F155+1)</f>
        <v/>
      </c>
      <c r="G197" s="710" t="str">
        <f>IF(obp!G155="","",obp!G155)</f>
        <v/>
      </c>
      <c r="H197" s="684" t="str">
        <f>IF(obp!H155=0,"",obp!H155)</f>
        <v/>
      </c>
      <c r="I197" s="389" t="str">
        <f>IF(J197="","",(IF(obp!I155+1&gt;LOOKUP(H197,schaal2019,regels2019),obp!I155,obp!I155+1)))</f>
        <v/>
      </c>
      <c r="J197" s="711" t="str">
        <f>IF(obp!J155="","",obp!J155)</f>
        <v/>
      </c>
      <c r="K197" s="370"/>
      <c r="L197" s="1049">
        <f>IF(obp!L155="","",obp!L155)</f>
        <v>0</v>
      </c>
      <c r="M197" s="1049">
        <f>IF(obp!M155="","",obp!M155)</f>
        <v>0</v>
      </c>
      <c r="N197" s="1051" t="str">
        <f t="shared" si="78"/>
        <v/>
      </c>
      <c r="O197" s="1051"/>
      <c r="P197" s="1125" t="str">
        <f t="shared" si="79"/>
        <v/>
      </c>
      <c r="Q197" s="472"/>
      <c r="R197" s="923" t="str">
        <f t="shared" si="90"/>
        <v/>
      </c>
      <c r="S197" s="923" t="str">
        <f t="shared" si="80"/>
        <v/>
      </c>
      <c r="T197" s="925" t="str">
        <f t="shared" si="81"/>
        <v/>
      </c>
      <c r="U197" s="545"/>
      <c r="V197" s="1103"/>
      <c r="W197" s="1103"/>
      <c r="X197" s="1060"/>
      <c r="Y197" s="1095" t="e">
        <f t="shared" si="82"/>
        <v>#VALUE!</v>
      </c>
      <c r="Z197" s="1094">
        <f>tab!B$50</f>
        <v>0.6</v>
      </c>
      <c r="AA197" s="1126" t="e">
        <f t="shared" si="83"/>
        <v>#VALUE!</v>
      </c>
      <c r="AB197" s="1126" t="e">
        <f t="shared" si="84"/>
        <v>#VALUE!</v>
      </c>
      <c r="AC197" s="1126" t="e">
        <f t="shared" si="85"/>
        <v>#VALUE!</v>
      </c>
      <c r="AD197" s="1128" t="e">
        <f t="shared" si="86"/>
        <v>#VALUE!</v>
      </c>
      <c r="AE197" s="1128">
        <f t="shared" si="87"/>
        <v>0</v>
      </c>
      <c r="AF197" s="1096">
        <f>IF(H197&gt;8,tab!$B$51,tab!$B$54)</f>
        <v>0.5</v>
      </c>
      <c r="AG197" s="1097">
        <f t="shared" si="88"/>
        <v>0</v>
      </c>
      <c r="AH197" s="1093">
        <f t="shared" si="89"/>
        <v>0</v>
      </c>
      <c r="AK197" s="176"/>
    </row>
    <row r="198" spans="3:37" ht="12.75" customHeight="1" x14ac:dyDescent="0.3">
      <c r="C198" s="114"/>
      <c r="D198" s="353" t="str">
        <f>IF(obp!D156=0,"",obp!D156)</f>
        <v/>
      </c>
      <c r="E198" s="388" t="str">
        <f>IF(obp!E156=0,"-",obp!E156)</f>
        <v/>
      </c>
      <c r="F198" s="684" t="str">
        <f>IF(obp!F156="","",obp!F156+1)</f>
        <v/>
      </c>
      <c r="G198" s="710" t="str">
        <f>IF(obp!G156="","",obp!G156)</f>
        <v/>
      </c>
      <c r="H198" s="684" t="str">
        <f>IF(obp!H156=0,"",obp!H156)</f>
        <v/>
      </c>
      <c r="I198" s="389" t="str">
        <f>IF(J198="","",(IF(obp!I156+1&gt;LOOKUP(H198,schaal2019,regels2019),obp!I156,obp!I156+1)))</f>
        <v/>
      </c>
      <c r="J198" s="711" t="str">
        <f>IF(obp!J156="","",obp!J156)</f>
        <v/>
      </c>
      <c r="K198" s="370"/>
      <c r="L198" s="1049">
        <f>IF(obp!L156="","",obp!L156)</f>
        <v>0</v>
      </c>
      <c r="M198" s="1049">
        <f>IF(obp!M156="","",obp!M156)</f>
        <v>0</v>
      </c>
      <c r="N198" s="1051" t="str">
        <f t="shared" si="78"/>
        <v/>
      </c>
      <c r="O198" s="1051"/>
      <c r="P198" s="1125" t="str">
        <f t="shared" si="79"/>
        <v/>
      </c>
      <c r="Q198" s="472"/>
      <c r="R198" s="923" t="str">
        <f t="shared" si="90"/>
        <v/>
      </c>
      <c r="S198" s="923" t="str">
        <f t="shared" si="80"/>
        <v/>
      </c>
      <c r="T198" s="925" t="str">
        <f t="shared" si="81"/>
        <v/>
      </c>
      <c r="U198" s="545"/>
      <c r="V198" s="1103"/>
      <c r="W198" s="1103"/>
      <c r="X198" s="1060"/>
      <c r="Y198" s="1095" t="e">
        <f t="shared" si="82"/>
        <v>#VALUE!</v>
      </c>
      <c r="Z198" s="1094">
        <f>tab!B$50</f>
        <v>0.6</v>
      </c>
      <c r="AA198" s="1126" t="e">
        <f t="shared" si="83"/>
        <v>#VALUE!</v>
      </c>
      <c r="AB198" s="1126" t="e">
        <f t="shared" si="84"/>
        <v>#VALUE!</v>
      </c>
      <c r="AC198" s="1126" t="e">
        <f t="shared" si="85"/>
        <v>#VALUE!</v>
      </c>
      <c r="AD198" s="1128" t="e">
        <f t="shared" si="86"/>
        <v>#VALUE!</v>
      </c>
      <c r="AE198" s="1128">
        <f t="shared" si="87"/>
        <v>0</v>
      </c>
      <c r="AF198" s="1096">
        <f>IF(H198&gt;8,tab!$B$51,tab!$B$54)</f>
        <v>0.5</v>
      </c>
      <c r="AG198" s="1097">
        <f t="shared" si="88"/>
        <v>0</v>
      </c>
      <c r="AH198" s="1093">
        <f t="shared" si="89"/>
        <v>0</v>
      </c>
      <c r="AK198" s="176"/>
    </row>
    <row r="199" spans="3:37" ht="12.75" customHeight="1" x14ac:dyDescent="0.3">
      <c r="C199" s="114"/>
      <c r="D199" s="353" t="str">
        <f>IF(obp!D157=0,"",obp!D157)</f>
        <v/>
      </c>
      <c r="E199" s="388" t="str">
        <f>IF(obp!E157=0,"-",obp!E157)</f>
        <v/>
      </c>
      <c r="F199" s="684" t="str">
        <f>IF(obp!F157="","",obp!F157+1)</f>
        <v/>
      </c>
      <c r="G199" s="710" t="str">
        <f>IF(obp!G157="","",obp!G157)</f>
        <v/>
      </c>
      <c r="H199" s="684" t="str">
        <f>IF(obp!H157=0,"",obp!H157)</f>
        <v/>
      </c>
      <c r="I199" s="389" t="str">
        <f>IF(J199="","",(IF(obp!I157+1&gt;LOOKUP(H199,schaal2019,regels2019),obp!I157,obp!I157+1)))</f>
        <v/>
      </c>
      <c r="J199" s="711" t="str">
        <f>IF(obp!J157="","",obp!J157)</f>
        <v/>
      </c>
      <c r="K199" s="370"/>
      <c r="L199" s="1049">
        <f>IF(obp!L157="","",obp!L157)</f>
        <v>0</v>
      </c>
      <c r="M199" s="1049">
        <f>IF(obp!M157="","",obp!M157)</f>
        <v>0</v>
      </c>
      <c r="N199" s="1051" t="str">
        <f t="shared" si="78"/>
        <v/>
      </c>
      <c r="O199" s="1051"/>
      <c r="P199" s="1125" t="str">
        <f t="shared" si="79"/>
        <v/>
      </c>
      <c r="Q199" s="472"/>
      <c r="R199" s="923" t="str">
        <f t="shared" si="90"/>
        <v/>
      </c>
      <c r="S199" s="923" t="str">
        <f t="shared" si="80"/>
        <v/>
      </c>
      <c r="T199" s="925" t="str">
        <f t="shared" si="81"/>
        <v/>
      </c>
      <c r="U199" s="545"/>
      <c r="V199" s="1103"/>
      <c r="W199" s="1103"/>
      <c r="X199" s="1060"/>
      <c r="Y199" s="1095" t="e">
        <f t="shared" si="82"/>
        <v>#VALUE!</v>
      </c>
      <c r="Z199" s="1094">
        <f>tab!B$50</f>
        <v>0.6</v>
      </c>
      <c r="AA199" s="1126" t="e">
        <f t="shared" si="83"/>
        <v>#VALUE!</v>
      </c>
      <c r="AB199" s="1126" t="e">
        <f t="shared" si="84"/>
        <v>#VALUE!</v>
      </c>
      <c r="AC199" s="1126" t="e">
        <f t="shared" si="85"/>
        <v>#VALUE!</v>
      </c>
      <c r="AD199" s="1128" t="e">
        <f t="shared" si="86"/>
        <v>#VALUE!</v>
      </c>
      <c r="AE199" s="1128">
        <f t="shared" si="87"/>
        <v>0</v>
      </c>
      <c r="AF199" s="1096">
        <f>IF(H199&gt;8,tab!$B$51,tab!$B$54)</f>
        <v>0.5</v>
      </c>
      <c r="AG199" s="1097">
        <f t="shared" si="88"/>
        <v>0</v>
      </c>
      <c r="AH199" s="1093">
        <f t="shared" si="89"/>
        <v>0</v>
      </c>
      <c r="AK199" s="176"/>
    </row>
    <row r="200" spans="3:37" ht="12.75" customHeight="1" x14ac:dyDescent="0.3">
      <c r="C200" s="114"/>
      <c r="D200" s="353" t="str">
        <f>IF(obp!D158=0,"",obp!D158)</f>
        <v/>
      </c>
      <c r="E200" s="388" t="str">
        <f>IF(obp!E158=0,"-",obp!E158)</f>
        <v/>
      </c>
      <c r="F200" s="684" t="str">
        <f>IF(obp!F158="","",obp!F158+1)</f>
        <v/>
      </c>
      <c r="G200" s="710" t="str">
        <f>IF(obp!G158="","",obp!G158)</f>
        <v/>
      </c>
      <c r="H200" s="684" t="str">
        <f>IF(obp!H158=0,"",obp!H158)</f>
        <v/>
      </c>
      <c r="I200" s="389" t="str">
        <f>IF(J200="","",(IF(obp!I158+1&gt;LOOKUP(H200,schaal2019,regels2019),obp!I158,obp!I158+1)))</f>
        <v/>
      </c>
      <c r="J200" s="711" t="str">
        <f>IF(obp!J158="","",obp!J158)</f>
        <v/>
      </c>
      <c r="K200" s="370"/>
      <c r="L200" s="1049">
        <f>IF(obp!L158="","",obp!L158)</f>
        <v>0</v>
      </c>
      <c r="M200" s="1049">
        <f>IF(obp!M158="","",obp!M158)</f>
        <v>0</v>
      </c>
      <c r="N200" s="1051" t="str">
        <f t="shared" si="78"/>
        <v/>
      </c>
      <c r="O200" s="1051"/>
      <c r="P200" s="1125" t="str">
        <f t="shared" si="79"/>
        <v/>
      </c>
      <c r="Q200" s="472"/>
      <c r="R200" s="923" t="str">
        <f t="shared" si="90"/>
        <v/>
      </c>
      <c r="S200" s="923" t="str">
        <f t="shared" si="80"/>
        <v/>
      </c>
      <c r="T200" s="925" t="str">
        <f t="shared" si="81"/>
        <v/>
      </c>
      <c r="U200" s="545"/>
      <c r="V200" s="1103"/>
      <c r="W200" s="1103"/>
      <c r="X200" s="1060"/>
      <c r="Y200" s="1095" t="e">
        <f t="shared" si="82"/>
        <v>#VALUE!</v>
      </c>
      <c r="Z200" s="1094">
        <f>tab!B$50</f>
        <v>0.6</v>
      </c>
      <c r="AA200" s="1126" t="e">
        <f t="shared" si="83"/>
        <v>#VALUE!</v>
      </c>
      <c r="AB200" s="1126" t="e">
        <f t="shared" si="84"/>
        <v>#VALUE!</v>
      </c>
      <c r="AC200" s="1126" t="e">
        <f t="shared" si="85"/>
        <v>#VALUE!</v>
      </c>
      <c r="AD200" s="1128" t="e">
        <f t="shared" si="86"/>
        <v>#VALUE!</v>
      </c>
      <c r="AE200" s="1128">
        <f t="shared" si="87"/>
        <v>0</v>
      </c>
      <c r="AF200" s="1096">
        <f>IF(H200&gt;8,tab!$B$51,tab!$B$54)</f>
        <v>0.5</v>
      </c>
      <c r="AG200" s="1097">
        <f t="shared" si="88"/>
        <v>0</v>
      </c>
      <c r="AH200" s="1093">
        <f t="shared" si="89"/>
        <v>0</v>
      </c>
      <c r="AK200" s="176"/>
    </row>
    <row r="201" spans="3:37" ht="12.75" customHeight="1" x14ac:dyDescent="0.3">
      <c r="C201" s="114"/>
      <c r="D201" s="353" t="str">
        <f>IF(obp!D159=0,"",obp!D159)</f>
        <v/>
      </c>
      <c r="E201" s="388" t="str">
        <f>IF(obp!E159=0,"-",obp!E159)</f>
        <v/>
      </c>
      <c r="F201" s="684" t="str">
        <f>IF(obp!F159="","",obp!F159+1)</f>
        <v/>
      </c>
      <c r="G201" s="710" t="str">
        <f>IF(obp!G159="","",obp!G159)</f>
        <v/>
      </c>
      <c r="H201" s="684" t="str">
        <f>IF(obp!H159=0,"",obp!H159)</f>
        <v/>
      </c>
      <c r="I201" s="389" t="str">
        <f>IF(J201="","",(IF(obp!I159+1&gt;LOOKUP(H201,schaal2019,regels2019),obp!I159,obp!I159+1)))</f>
        <v/>
      </c>
      <c r="J201" s="711" t="str">
        <f>IF(obp!J159="","",obp!J159)</f>
        <v/>
      </c>
      <c r="K201" s="370"/>
      <c r="L201" s="1049">
        <f>IF(obp!L159="","",obp!L159)</f>
        <v>0</v>
      </c>
      <c r="M201" s="1049">
        <f>IF(obp!M159="","",obp!M159)</f>
        <v>0</v>
      </c>
      <c r="N201" s="1051" t="str">
        <f t="shared" si="78"/>
        <v/>
      </c>
      <c r="O201" s="1051"/>
      <c r="P201" s="1125" t="str">
        <f t="shared" si="79"/>
        <v/>
      </c>
      <c r="Q201" s="472"/>
      <c r="R201" s="923" t="str">
        <f t="shared" si="90"/>
        <v/>
      </c>
      <c r="S201" s="923" t="str">
        <f t="shared" si="80"/>
        <v/>
      </c>
      <c r="T201" s="925" t="str">
        <f t="shared" si="81"/>
        <v/>
      </c>
      <c r="U201" s="545"/>
      <c r="V201" s="1103"/>
      <c r="W201" s="1103"/>
      <c r="X201" s="1060"/>
      <c r="Y201" s="1095" t="e">
        <f t="shared" si="82"/>
        <v>#VALUE!</v>
      </c>
      <c r="Z201" s="1094">
        <f>tab!B$50</f>
        <v>0.6</v>
      </c>
      <c r="AA201" s="1126" t="e">
        <f t="shared" si="83"/>
        <v>#VALUE!</v>
      </c>
      <c r="AB201" s="1126" t="e">
        <f t="shared" si="84"/>
        <v>#VALUE!</v>
      </c>
      <c r="AC201" s="1126" t="e">
        <f t="shared" si="85"/>
        <v>#VALUE!</v>
      </c>
      <c r="AD201" s="1128" t="e">
        <f t="shared" si="86"/>
        <v>#VALUE!</v>
      </c>
      <c r="AE201" s="1128">
        <f t="shared" si="87"/>
        <v>0</v>
      </c>
      <c r="AF201" s="1096">
        <f>IF(H201&gt;8,tab!$B$51,tab!$B$54)</f>
        <v>0.5</v>
      </c>
      <c r="AG201" s="1097">
        <f t="shared" si="88"/>
        <v>0</v>
      </c>
      <c r="AH201" s="1093">
        <f t="shared" si="89"/>
        <v>0</v>
      </c>
      <c r="AK201" s="176"/>
    </row>
    <row r="202" spans="3:37" ht="12.75" customHeight="1" x14ac:dyDescent="0.3">
      <c r="C202" s="114"/>
      <c r="D202" s="353" t="str">
        <f>IF(obp!D160=0,"",obp!D160)</f>
        <v/>
      </c>
      <c r="E202" s="388" t="str">
        <f>IF(obp!E160=0,"-",obp!E160)</f>
        <v/>
      </c>
      <c r="F202" s="684" t="str">
        <f>IF(obp!F160="","",obp!F160+1)</f>
        <v/>
      </c>
      <c r="G202" s="710" t="str">
        <f>IF(obp!G160="","",obp!G160)</f>
        <v/>
      </c>
      <c r="H202" s="684" t="str">
        <f>IF(obp!H160=0,"",obp!H160)</f>
        <v/>
      </c>
      <c r="I202" s="389" t="str">
        <f>IF(J202="","",(IF(obp!I160+1&gt;LOOKUP(H202,schaal2019,regels2019),obp!I160,obp!I160+1)))</f>
        <v/>
      </c>
      <c r="J202" s="711" t="str">
        <f>IF(obp!J160="","",obp!J160)</f>
        <v/>
      </c>
      <c r="K202" s="370"/>
      <c r="L202" s="1049">
        <f>IF(obp!L160="","",obp!L160)</f>
        <v>0</v>
      </c>
      <c r="M202" s="1049">
        <f>IF(obp!M160="","",obp!M160)</f>
        <v>0</v>
      </c>
      <c r="N202" s="1051" t="str">
        <f t="shared" si="78"/>
        <v/>
      </c>
      <c r="O202" s="1051"/>
      <c r="P202" s="1125" t="str">
        <f t="shared" si="79"/>
        <v/>
      </c>
      <c r="Q202" s="472"/>
      <c r="R202" s="923" t="str">
        <f t="shared" si="90"/>
        <v/>
      </c>
      <c r="S202" s="923" t="str">
        <f t="shared" si="80"/>
        <v/>
      </c>
      <c r="T202" s="925" t="str">
        <f t="shared" si="81"/>
        <v/>
      </c>
      <c r="U202" s="545"/>
      <c r="V202" s="1103"/>
      <c r="W202" s="1103"/>
      <c r="X202" s="1060"/>
      <c r="Y202" s="1095" t="e">
        <f t="shared" si="82"/>
        <v>#VALUE!</v>
      </c>
      <c r="Z202" s="1094">
        <f>tab!B$50</f>
        <v>0.6</v>
      </c>
      <c r="AA202" s="1126" t="e">
        <f t="shared" si="83"/>
        <v>#VALUE!</v>
      </c>
      <c r="AB202" s="1126" t="e">
        <f t="shared" si="84"/>
        <v>#VALUE!</v>
      </c>
      <c r="AC202" s="1126" t="e">
        <f t="shared" si="85"/>
        <v>#VALUE!</v>
      </c>
      <c r="AD202" s="1128" t="e">
        <f t="shared" si="86"/>
        <v>#VALUE!</v>
      </c>
      <c r="AE202" s="1128">
        <f t="shared" si="87"/>
        <v>0</v>
      </c>
      <c r="AF202" s="1096">
        <f>IF(H202&gt;8,tab!$B$51,tab!$B$54)</f>
        <v>0.5</v>
      </c>
      <c r="AG202" s="1097">
        <f t="shared" si="88"/>
        <v>0</v>
      </c>
      <c r="AH202" s="1093">
        <f t="shared" si="89"/>
        <v>0</v>
      </c>
      <c r="AK202" s="176"/>
    </row>
    <row r="203" spans="3:37" ht="12.75" customHeight="1" x14ac:dyDescent="0.3">
      <c r="C203" s="114"/>
      <c r="D203" s="353" t="str">
        <f>IF(obp!D161=0,"",obp!D161)</f>
        <v/>
      </c>
      <c r="E203" s="388" t="str">
        <f>IF(obp!E161=0,"-",obp!E161)</f>
        <v/>
      </c>
      <c r="F203" s="684" t="str">
        <f>IF(obp!F161="","",obp!F161+1)</f>
        <v/>
      </c>
      <c r="G203" s="710" t="str">
        <f>IF(obp!G161="","",obp!G161)</f>
        <v/>
      </c>
      <c r="H203" s="684" t="str">
        <f>IF(obp!H161=0,"",obp!H161)</f>
        <v/>
      </c>
      <c r="I203" s="389" t="str">
        <f>IF(J203="","",(IF(obp!I161+1&gt;LOOKUP(H203,schaal2019,regels2019),obp!I161,obp!I161+1)))</f>
        <v/>
      </c>
      <c r="J203" s="711" t="str">
        <f>IF(obp!J161="","",obp!J161)</f>
        <v/>
      </c>
      <c r="K203" s="370"/>
      <c r="L203" s="1049">
        <f>IF(obp!L161="","",obp!L161)</f>
        <v>0</v>
      </c>
      <c r="M203" s="1049">
        <f>IF(obp!M161="","",obp!M161)</f>
        <v>0</v>
      </c>
      <c r="N203" s="1051" t="str">
        <f t="shared" si="78"/>
        <v/>
      </c>
      <c r="O203" s="1051"/>
      <c r="P203" s="1125" t="str">
        <f t="shared" si="79"/>
        <v/>
      </c>
      <c r="Q203" s="472"/>
      <c r="R203" s="923" t="str">
        <f t="shared" si="90"/>
        <v/>
      </c>
      <c r="S203" s="923" t="str">
        <f t="shared" si="80"/>
        <v/>
      </c>
      <c r="T203" s="925" t="str">
        <f t="shared" si="81"/>
        <v/>
      </c>
      <c r="U203" s="545"/>
      <c r="V203" s="1103"/>
      <c r="W203" s="1103"/>
      <c r="X203" s="1060"/>
      <c r="Y203" s="1095" t="e">
        <f t="shared" si="82"/>
        <v>#VALUE!</v>
      </c>
      <c r="Z203" s="1094">
        <f>tab!B$50</f>
        <v>0.6</v>
      </c>
      <c r="AA203" s="1126" t="e">
        <f t="shared" si="83"/>
        <v>#VALUE!</v>
      </c>
      <c r="AB203" s="1126" t="e">
        <f t="shared" si="84"/>
        <v>#VALUE!</v>
      </c>
      <c r="AC203" s="1126" t="e">
        <f t="shared" si="85"/>
        <v>#VALUE!</v>
      </c>
      <c r="AD203" s="1128" t="e">
        <f t="shared" si="86"/>
        <v>#VALUE!</v>
      </c>
      <c r="AE203" s="1128">
        <f t="shared" si="87"/>
        <v>0</v>
      </c>
      <c r="AF203" s="1096">
        <f>IF(H203&gt;8,tab!$B$51,tab!$B$54)</f>
        <v>0.5</v>
      </c>
      <c r="AG203" s="1097">
        <f t="shared" si="88"/>
        <v>0</v>
      </c>
      <c r="AH203" s="1093">
        <f t="shared" si="89"/>
        <v>0</v>
      </c>
      <c r="AK203" s="176"/>
    </row>
    <row r="204" spans="3:37" ht="12.75" customHeight="1" x14ac:dyDescent="0.3">
      <c r="C204" s="114"/>
      <c r="D204" s="353" t="str">
        <f>IF(obp!D162=0,"",obp!D162)</f>
        <v/>
      </c>
      <c r="E204" s="388" t="str">
        <f>IF(obp!E162=0,"-",obp!E162)</f>
        <v/>
      </c>
      <c r="F204" s="105" t="str">
        <f>IF(obp!F162="","",obp!F162+1)</f>
        <v/>
      </c>
      <c r="G204" s="354" t="str">
        <f>IF(obp!G162="","",obp!G162)</f>
        <v/>
      </c>
      <c r="H204" s="684" t="str">
        <f>IF(obp!H162=0,"",obp!H162)</f>
        <v/>
      </c>
      <c r="I204" s="389" t="str">
        <f>IF(J204="","",(IF(obp!I162+1&gt;LOOKUP(H204,schaal2019,regels2019),obp!I162,obp!I162+1)))</f>
        <v/>
      </c>
      <c r="J204" s="356" t="str">
        <f>IF(obp!J162="","",obp!J162)</f>
        <v/>
      </c>
      <c r="K204" s="370"/>
      <c r="L204" s="1049">
        <f>IF(obp!L162="","",obp!L162)</f>
        <v>0</v>
      </c>
      <c r="M204" s="1049">
        <f>IF(obp!M162="","",obp!M162)</f>
        <v>0</v>
      </c>
      <c r="N204" s="1051" t="str">
        <f t="shared" si="78"/>
        <v/>
      </c>
      <c r="O204" s="1051"/>
      <c r="P204" s="1125" t="str">
        <f t="shared" si="79"/>
        <v/>
      </c>
      <c r="Q204" s="472"/>
      <c r="R204" s="923" t="str">
        <f t="shared" si="90"/>
        <v/>
      </c>
      <c r="S204" s="923" t="str">
        <f t="shared" si="80"/>
        <v/>
      </c>
      <c r="T204" s="925" t="str">
        <f t="shared" si="81"/>
        <v/>
      </c>
      <c r="U204" s="545"/>
      <c r="V204" s="1103"/>
      <c r="W204" s="1103"/>
      <c r="X204" s="1060"/>
      <c r="Y204" s="1095" t="e">
        <f t="shared" si="82"/>
        <v>#VALUE!</v>
      </c>
      <c r="Z204" s="1094">
        <f>tab!B$50</f>
        <v>0.6</v>
      </c>
      <c r="AA204" s="1126" t="e">
        <f t="shared" si="83"/>
        <v>#VALUE!</v>
      </c>
      <c r="AB204" s="1126" t="e">
        <f t="shared" si="84"/>
        <v>#VALUE!</v>
      </c>
      <c r="AC204" s="1126" t="e">
        <f t="shared" si="85"/>
        <v>#VALUE!</v>
      </c>
      <c r="AD204" s="1128" t="e">
        <f t="shared" si="86"/>
        <v>#VALUE!</v>
      </c>
      <c r="AE204" s="1128">
        <f t="shared" si="87"/>
        <v>0</v>
      </c>
      <c r="AF204" s="1096">
        <f>IF(H204&gt;8,tab!$B$51,tab!$B$54)</f>
        <v>0.5</v>
      </c>
      <c r="AG204" s="1097">
        <f t="shared" si="88"/>
        <v>0</v>
      </c>
      <c r="AH204" s="1093">
        <f t="shared" si="89"/>
        <v>0</v>
      </c>
      <c r="AK204" s="176"/>
    </row>
    <row r="205" spans="3:37" ht="12.75" customHeight="1" x14ac:dyDescent="0.3">
      <c r="C205" s="114"/>
      <c r="D205" s="353" t="str">
        <f>IF(obp!D163=0,"",obp!D163)</f>
        <v/>
      </c>
      <c r="E205" s="388" t="str">
        <f>IF(obp!E163=0,"-",obp!E163)</f>
        <v/>
      </c>
      <c r="F205" s="105" t="str">
        <f>IF(obp!F163="","",obp!F163+1)</f>
        <v/>
      </c>
      <c r="G205" s="354" t="str">
        <f>IF(obp!G163="","",obp!G163)</f>
        <v/>
      </c>
      <c r="H205" s="684" t="str">
        <f>IF(obp!H163=0,"",obp!H163)</f>
        <v/>
      </c>
      <c r="I205" s="389" t="str">
        <f>IF(J205="","",(IF(obp!I163+1&gt;LOOKUP(H205,schaal2019,regels2019),obp!I163,obp!I163+1)))</f>
        <v/>
      </c>
      <c r="J205" s="356" t="str">
        <f>IF(obp!J163="","",obp!J163)</f>
        <v/>
      </c>
      <c r="K205" s="370"/>
      <c r="L205" s="1049">
        <f>IF(obp!L163="","",obp!L163)</f>
        <v>0</v>
      </c>
      <c r="M205" s="1049">
        <f>IF(obp!M163="","",obp!M163)</f>
        <v>0</v>
      </c>
      <c r="N205" s="1051" t="str">
        <f t="shared" si="78"/>
        <v/>
      </c>
      <c r="O205" s="1051"/>
      <c r="P205" s="1125" t="str">
        <f t="shared" si="79"/>
        <v/>
      </c>
      <c r="Q205" s="472"/>
      <c r="R205" s="923" t="str">
        <f t="shared" si="90"/>
        <v/>
      </c>
      <c r="S205" s="923" t="str">
        <f t="shared" si="80"/>
        <v/>
      </c>
      <c r="T205" s="925" t="str">
        <f t="shared" si="81"/>
        <v/>
      </c>
      <c r="U205" s="545"/>
      <c r="V205" s="1103"/>
      <c r="W205" s="1103"/>
      <c r="X205" s="1060"/>
      <c r="Y205" s="1095" t="e">
        <f t="shared" si="82"/>
        <v>#VALUE!</v>
      </c>
      <c r="Z205" s="1094">
        <f>tab!B$50</f>
        <v>0.6</v>
      </c>
      <c r="AA205" s="1126" t="e">
        <f t="shared" si="83"/>
        <v>#VALUE!</v>
      </c>
      <c r="AB205" s="1126" t="e">
        <f t="shared" si="84"/>
        <v>#VALUE!</v>
      </c>
      <c r="AC205" s="1126" t="e">
        <f t="shared" si="85"/>
        <v>#VALUE!</v>
      </c>
      <c r="AD205" s="1128" t="e">
        <f t="shared" si="86"/>
        <v>#VALUE!</v>
      </c>
      <c r="AE205" s="1128">
        <f t="shared" si="87"/>
        <v>0</v>
      </c>
      <c r="AF205" s="1096">
        <f>IF(H205&gt;8,tab!$B$51,tab!$B$54)</f>
        <v>0.5</v>
      </c>
      <c r="AG205" s="1097">
        <f t="shared" si="88"/>
        <v>0</v>
      </c>
      <c r="AH205" s="1093">
        <f t="shared" si="89"/>
        <v>0</v>
      </c>
      <c r="AK205" s="176"/>
    </row>
    <row r="206" spans="3:37" ht="12.75" customHeight="1" x14ac:dyDescent="0.3">
      <c r="C206" s="114"/>
      <c r="D206" s="353" t="str">
        <f>IF(obp!D164=0,"",obp!D164)</f>
        <v/>
      </c>
      <c r="E206" s="388" t="str">
        <f>IF(obp!E164=0,"-",obp!E164)</f>
        <v/>
      </c>
      <c r="F206" s="105" t="str">
        <f>IF(obp!F164="","",obp!F164+1)</f>
        <v/>
      </c>
      <c r="G206" s="354" t="str">
        <f>IF(obp!G164="","",obp!G164)</f>
        <v/>
      </c>
      <c r="H206" s="684" t="str">
        <f>IF(obp!H164=0,"",obp!H164)</f>
        <v/>
      </c>
      <c r="I206" s="389" t="str">
        <f>IF(J206="","",(IF(obp!I164+1&gt;LOOKUP(H206,schaal2019,regels2019),obp!I164,obp!I164+1)))</f>
        <v/>
      </c>
      <c r="J206" s="356" t="str">
        <f>IF(obp!J164="","",obp!J164)</f>
        <v/>
      </c>
      <c r="K206" s="370"/>
      <c r="L206" s="1049">
        <f>IF(obp!L164="","",obp!L164)</f>
        <v>0</v>
      </c>
      <c r="M206" s="1049">
        <f>IF(obp!M164="","",obp!M164)</f>
        <v>0</v>
      </c>
      <c r="N206" s="1051" t="str">
        <f t="shared" si="78"/>
        <v/>
      </c>
      <c r="O206" s="1051"/>
      <c r="P206" s="1125" t="str">
        <f t="shared" si="79"/>
        <v/>
      </c>
      <c r="Q206" s="472"/>
      <c r="R206" s="923" t="str">
        <f t="shared" si="90"/>
        <v/>
      </c>
      <c r="S206" s="923" t="str">
        <f t="shared" si="80"/>
        <v/>
      </c>
      <c r="T206" s="925" t="str">
        <f t="shared" si="81"/>
        <v/>
      </c>
      <c r="U206" s="545"/>
      <c r="V206" s="1103"/>
      <c r="W206" s="1103"/>
      <c r="X206" s="1060"/>
      <c r="Y206" s="1095" t="e">
        <f t="shared" si="82"/>
        <v>#VALUE!</v>
      </c>
      <c r="Z206" s="1094">
        <f>tab!B$50</f>
        <v>0.6</v>
      </c>
      <c r="AA206" s="1126" t="e">
        <f t="shared" si="83"/>
        <v>#VALUE!</v>
      </c>
      <c r="AB206" s="1126" t="e">
        <f t="shared" si="84"/>
        <v>#VALUE!</v>
      </c>
      <c r="AC206" s="1126" t="e">
        <f t="shared" si="85"/>
        <v>#VALUE!</v>
      </c>
      <c r="AD206" s="1128" t="e">
        <f t="shared" si="86"/>
        <v>#VALUE!</v>
      </c>
      <c r="AE206" s="1128">
        <f t="shared" si="87"/>
        <v>0</v>
      </c>
      <c r="AF206" s="1096">
        <f>IF(H206&gt;8,tab!$B$51,tab!$B$54)</f>
        <v>0.5</v>
      </c>
      <c r="AG206" s="1097">
        <f t="shared" si="88"/>
        <v>0</v>
      </c>
      <c r="AH206" s="1093">
        <f t="shared" si="89"/>
        <v>0</v>
      </c>
      <c r="AK206" s="176"/>
    </row>
    <row r="207" spans="3:37" ht="12.75" customHeight="1" x14ac:dyDescent="0.3">
      <c r="C207" s="114"/>
      <c r="D207" s="353" t="str">
        <f>IF(obp!D165=0,"",obp!D165)</f>
        <v/>
      </c>
      <c r="E207" s="388" t="str">
        <f>IF(obp!E165=0,"-",obp!E165)</f>
        <v/>
      </c>
      <c r="F207" s="105" t="str">
        <f>IF(obp!F165="","",obp!F165+1)</f>
        <v/>
      </c>
      <c r="G207" s="354" t="str">
        <f>IF(obp!G165="","",obp!G165)</f>
        <v/>
      </c>
      <c r="H207" s="684" t="str">
        <f>IF(obp!H165=0,"",obp!H165)</f>
        <v/>
      </c>
      <c r="I207" s="389" t="str">
        <f>IF(J207="","",(IF(obp!I165+1&gt;LOOKUP(H207,schaal2019,regels2019),obp!I165,obp!I165+1)))</f>
        <v/>
      </c>
      <c r="J207" s="356" t="str">
        <f>IF(obp!J165="","",obp!J165)</f>
        <v/>
      </c>
      <c r="K207" s="370"/>
      <c r="L207" s="1049">
        <f>IF(obp!L165="","",obp!L165)</f>
        <v>0</v>
      </c>
      <c r="M207" s="1049">
        <f>IF(obp!M165="","",obp!M165)</f>
        <v>0</v>
      </c>
      <c r="N207" s="1051" t="str">
        <f t="shared" si="78"/>
        <v/>
      </c>
      <c r="O207" s="1051"/>
      <c r="P207" s="1125" t="str">
        <f t="shared" si="79"/>
        <v/>
      </c>
      <c r="Q207" s="472"/>
      <c r="R207" s="923" t="str">
        <f t="shared" si="90"/>
        <v/>
      </c>
      <c r="S207" s="923" t="str">
        <f t="shared" si="80"/>
        <v/>
      </c>
      <c r="T207" s="925" t="str">
        <f t="shared" si="81"/>
        <v/>
      </c>
      <c r="U207" s="545"/>
      <c r="V207" s="1103"/>
      <c r="W207" s="1103"/>
      <c r="X207" s="1060"/>
      <c r="Y207" s="1095" t="e">
        <f t="shared" si="82"/>
        <v>#VALUE!</v>
      </c>
      <c r="Z207" s="1094">
        <f>tab!B$50</f>
        <v>0.6</v>
      </c>
      <c r="AA207" s="1126" t="e">
        <f t="shared" si="83"/>
        <v>#VALUE!</v>
      </c>
      <c r="AB207" s="1126" t="e">
        <f t="shared" si="84"/>
        <v>#VALUE!</v>
      </c>
      <c r="AC207" s="1126" t="e">
        <f t="shared" si="85"/>
        <v>#VALUE!</v>
      </c>
      <c r="AD207" s="1128" t="e">
        <f t="shared" si="86"/>
        <v>#VALUE!</v>
      </c>
      <c r="AE207" s="1128">
        <f t="shared" si="87"/>
        <v>0</v>
      </c>
      <c r="AF207" s="1096">
        <f>IF(H207&gt;8,tab!$B$51,tab!$B$54)</f>
        <v>0.5</v>
      </c>
      <c r="AG207" s="1097">
        <f t="shared" si="88"/>
        <v>0</v>
      </c>
      <c r="AH207" s="1093">
        <f t="shared" si="89"/>
        <v>0</v>
      </c>
      <c r="AK207" s="176"/>
    </row>
    <row r="208" spans="3:37" ht="12.75" customHeight="1" x14ac:dyDescent="0.3">
      <c r="C208" s="114"/>
      <c r="D208" s="353" t="str">
        <f>IF(obp!D166=0,"",obp!D166)</f>
        <v/>
      </c>
      <c r="E208" s="388" t="str">
        <f>IF(obp!E166=0,"-",obp!E166)</f>
        <v/>
      </c>
      <c r="F208" s="105" t="str">
        <f>IF(obp!F166="","",obp!F166+1)</f>
        <v/>
      </c>
      <c r="G208" s="354" t="str">
        <f>IF(obp!G166="","",obp!G166)</f>
        <v/>
      </c>
      <c r="H208" s="684" t="str">
        <f>IF(obp!H166=0,"",obp!H166)</f>
        <v/>
      </c>
      <c r="I208" s="389" t="str">
        <f>IF(J208="","",(IF(obp!I166+1&gt;LOOKUP(H208,schaal2019,regels2019),obp!I166,obp!I166+1)))</f>
        <v/>
      </c>
      <c r="J208" s="356" t="str">
        <f>IF(obp!J166="","",obp!J166)</f>
        <v/>
      </c>
      <c r="K208" s="370"/>
      <c r="L208" s="1049">
        <f>IF(obp!L166="","",obp!L166)</f>
        <v>0</v>
      </c>
      <c r="M208" s="1049">
        <f>IF(obp!M166="","",obp!M166)</f>
        <v>0</v>
      </c>
      <c r="N208" s="1051" t="str">
        <f t="shared" si="78"/>
        <v/>
      </c>
      <c r="O208" s="1051"/>
      <c r="P208" s="1125" t="str">
        <f t="shared" si="79"/>
        <v/>
      </c>
      <c r="Q208" s="472"/>
      <c r="R208" s="923" t="str">
        <f t="shared" si="90"/>
        <v/>
      </c>
      <c r="S208" s="923" t="str">
        <f t="shared" si="80"/>
        <v/>
      </c>
      <c r="T208" s="925" t="str">
        <f t="shared" si="81"/>
        <v/>
      </c>
      <c r="U208" s="545"/>
      <c r="V208" s="1103"/>
      <c r="W208" s="1103"/>
      <c r="X208" s="1060"/>
      <c r="Y208" s="1095" t="e">
        <f t="shared" si="82"/>
        <v>#VALUE!</v>
      </c>
      <c r="Z208" s="1094">
        <f>tab!B$50</f>
        <v>0.6</v>
      </c>
      <c r="AA208" s="1126" t="e">
        <f t="shared" si="83"/>
        <v>#VALUE!</v>
      </c>
      <c r="AB208" s="1126" t="e">
        <f t="shared" si="84"/>
        <v>#VALUE!</v>
      </c>
      <c r="AC208" s="1126" t="e">
        <f t="shared" si="85"/>
        <v>#VALUE!</v>
      </c>
      <c r="AD208" s="1128" t="e">
        <f t="shared" si="86"/>
        <v>#VALUE!</v>
      </c>
      <c r="AE208" s="1128">
        <f t="shared" si="87"/>
        <v>0</v>
      </c>
      <c r="AF208" s="1096">
        <f>IF(H208&gt;8,tab!$B$51,tab!$B$54)</f>
        <v>0.5</v>
      </c>
      <c r="AG208" s="1097">
        <f t="shared" si="88"/>
        <v>0</v>
      </c>
      <c r="AH208" s="1093">
        <f t="shared" si="89"/>
        <v>0</v>
      </c>
      <c r="AK208" s="176"/>
    </row>
    <row r="209" spans="2:42" ht="12.75" customHeight="1" x14ac:dyDescent="0.3">
      <c r="C209" s="114"/>
      <c r="D209" s="353" t="str">
        <f>IF(obp!D167=0,"",obp!D167)</f>
        <v/>
      </c>
      <c r="E209" s="388" t="str">
        <f>IF(obp!E167=0,"-",obp!E167)</f>
        <v/>
      </c>
      <c r="F209" s="105" t="str">
        <f>IF(obp!F167="","",obp!F167+1)</f>
        <v/>
      </c>
      <c r="G209" s="354" t="str">
        <f>IF(obp!G167="","",obp!G167)</f>
        <v/>
      </c>
      <c r="H209" s="684" t="str">
        <f>IF(obp!H167=0,"",obp!H167)</f>
        <v/>
      </c>
      <c r="I209" s="389" t="str">
        <f>IF(J209="","",(IF(obp!I167+1&gt;LOOKUP(H209,schaal2019,regels2019),obp!I167,obp!I167+1)))</f>
        <v/>
      </c>
      <c r="J209" s="356" t="str">
        <f>IF(obp!J167="","",obp!J167)</f>
        <v/>
      </c>
      <c r="K209" s="370"/>
      <c r="L209" s="1049">
        <f>IF(obp!L167="","",obp!L167)</f>
        <v>0</v>
      </c>
      <c r="M209" s="1049">
        <f>IF(obp!M167="","",obp!M167)</f>
        <v>0</v>
      </c>
      <c r="N209" s="1051" t="str">
        <f t="shared" si="78"/>
        <v/>
      </c>
      <c r="O209" s="1051"/>
      <c r="P209" s="1125" t="str">
        <f t="shared" si="79"/>
        <v/>
      </c>
      <c r="Q209" s="472"/>
      <c r="R209" s="923" t="str">
        <f t="shared" si="90"/>
        <v/>
      </c>
      <c r="S209" s="923" t="str">
        <f t="shared" si="80"/>
        <v/>
      </c>
      <c r="T209" s="925" t="str">
        <f t="shared" si="81"/>
        <v/>
      </c>
      <c r="U209" s="545"/>
      <c r="V209" s="1103"/>
      <c r="W209" s="1103"/>
      <c r="X209" s="1060"/>
      <c r="Y209" s="1095" t="e">
        <f t="shared" si="82"/>
        <v>#VALUE!</v>
      </c>
      <c r="Z209" s="1094">
        <f>tab!B$50</f>
        <v>0.6</v>
      </c>
      <c r="AA209" s="1126" t="e">
        <f t="shared" si="83"/>
        <v>#VALUE!</v>
      </c>
      <c r="AB209" s="1126" t="e">
        <f t="shared" si="84"/>
        <v>#VALUE!</v>
      </c>
      <c r="AC209" s="1126" t="e">
        <f t="shared" si="85"/>
        <v>#VALUE!</v>
      </c>
      <c r="AD209" s="1128" t="e">
        <f t="shared" si="86"/>
        <v>#VALUE!</v>
      </c>
      <c r="AE209" s="1128">
        <f t="shared" si="87"/>
        <v>0</v>
      </c>
      <c r="AF209" s="1096">
        <f>IF(H209&gt;8,tab!$B$51,tab!$B$54)</f>
        <v>0.5</v>
      </c>
      <c r="AG209" s="1097">
        <f t="shared" si="88"/>
        <v>0</v>
      </c>
      <c r="AH209" s="1093">
        <f t="shared" si="89"/>
        <v>0</v>
      </c>
      <c r="AK209" s="176"/>
    </row>
    <row r="210" spans="2:42" ht="12.75" customHeight="1" x14ac:dyDescent="0.3">
      <c r="C210" s="114"/>
      <c r="D210" s="353" t="str">
        <f>IF(obp!D168=0,"",obp!D168)</f>
        <v/>
      </c>
      <c r="E210" s="388" t="str">
        <f>IF(obp!E168=0,"-",obp!E168)</f>
        <v/>
      </c>
      <c r="F210" s="105" t="str">
        <f>IF(obp!F168="","",obp!F168+1)</f>
        <v/>
      </c>
      <c r="G210" s="354" t="str">
        <f>IF(obp!G168="","",obp!G168)</f>
        <v/>
      </c>
      <c r="H210" s="684" t="str">
        <f>IF(obp!H168=0,"",obp!H168)</f>
        <v/>
      </c>
      <c r="I210" s="389" t="str">
        <f>IF(J210="","",(IF(obp!I168+1&gt;LOOKUP(H210,schaal2019,regels2019),obp!I168,obp!I168+1)))</f>
        <v/>
      </c>
      <c r="J210" s="356" t="str">
        <f>IF(obp!J168="","",obp!J168)</f>
        <v/>
      </c>
      <c r="K210" s="370"/>
      <c r="L210" s="1049">
        <f>IF(obp!L168="","",obp!L168)</f>
        <v>0</v>
      </c>
      <c r="M210" s="1049">
        <f>IF(obp!M168="","",obp!M168)</f>
        <v>0</v>
      </c>
      <c r="N210" s="1051" t="str">
        <f t="shared" si="78"/>
        <v/>
      </c>
      <c r="O210" s="1051"/>
      <c r="P210" s="1125" t="str">
        <f t="shared" si="79"/>
        <v/>
      </c>
      <c r="Q210" s="472"/>
      <c r="R210" s="923" t="str">
        <f t="shared" si="90"/>
        <v/>
      </c>
      <c r="S210" s="923" t="str">
        <f t="shared" si="80"/>
        <v/>
      </c>
      <c r="T210" s="925" t="str">
        <f t="shared" si="81"/>
        <v/>
      </c>
      <c r="U210" s="545"/>
      <c r="V210" s="1103"/>
      <c r="W210" s="1103"/>
      <c r="X210" s="1060"/>
      <c r="Y210" s="1095" t="e">
        <f t="shared" si="82"/>
        <v>#VALUE!</v>
      </c>
      <c r="Z210" s="1094">
        <f>tab!B$50</f>
        <v>0.6</v>
      </c>
      <c r="AA210" s="1126" t="e">
        <f t="shared" si="83"/>
        <v>#VALUE!</v>
      </c>
      <c r="AB210" s="1126" t="e">
        <f t="shared" si="84"/>
        <v>#VALUE!</v>
      </c>
      <c r="AC210" s="1126" t="e">
        <f t="shared" si="85"/>
        <v>#VALUE!</v>
      </c>
      <c r="AD210" s="1128" t="e">
        <f t="shared" si="86"/>
        <v>#VALUE!</v>
      </c>
      <c r="AE210" s="1128">
        <f t="shared" si="87"/>
        <v>0</v>
      </c>
      <c r="AF210" s="1096">
        <f>IF(H210&gt;8,tab!$B$51,tab!$B$54)</f>
        <v>0.5</v>
      </c>
      <c r="AG210" s="1097">
        <f t="shared" si="88"/>
        <v>0</v>
      </c>
      <c r="AH210" s="1093">
        <f t="shared" si="89"/>
        <v>0</v>
      </c>
      <c r="AK210" s="176"/>
    </row>
    <row r="211" spans="2:42" ht="12.75" customHeight="1" x14ac:dyDescent="0.3">
      <c r="C211" s="114"/>
      <c r="D211" s="353" t="str">
        <f>IF(obp!D169=0,"",obp!D169)</f>
        <v/>
      </c>
      <c r="E211" s="388" t="str">
        <f>IF(obp!E169=0,"-",obp!E169)</f>
        <v/>
      </c>
      <c r="F211" s="105" t="str">
        <f>IF(obp!F169="","",obp!F169+1)</f>
        <v/>
      </c>
      <c r="G211" s="354" t="str">
        <f>IF(obp!G169="","",obp!G169)</f>
        <v/>
      </c>
      <c r="H211" s="684" t="str">
        <f>IF(obp!H169=0,"",obp!H169)</f>
        <v/>
      </c>
      <c r="I211" s="389" t="str">
        <f>IF(J211="","",(IF(obp!I169+1&gt;LOOKUP(H211,schaal2019,regels2019),obp!I169,obp!I169+1)))</f>
        <v/>
      </c>
      <c r="J211" s="356" t="str">
        <f>IF(obp!J169="","",obp!J169)</f>
        <v/>
      </c>
      <c r="K211" s="370"/>
      <c r="L211" s="1049">
        <f>IF(obp!L169="","",obp!L169)</f>
        <v>0</v>
      </c>
      <c r="M211" s="1049">
        <f>IF(obp!M169="","",obp!M169)</f>
        <v>0</v>
      </c>
      <c r="N211" s="1051" t="str">
        <f t="shared" si="78"/>
        <v/>
      </c>
      <c r="O211" s="1051"/>
      <c r="P211" s="1125" t="str">
        <f t="shared" si="79"/>
        <v/>
      </c>
      <c r="Q211" s="472"/>
      <c r="R211" s="923" t="str">
        <f t="shared" si="90"/>
        <v/>
      </c>
      <c r="S211" s="923" t="str">
        <f t="shared" si="80"/>
        <v/>
      </c>
      <c r="T211" s="925" t="str">
        <f t="shared" si="81"/>
        <v/>
      </c>
      <c r="U211" s="545"/>
      <c r="V211" s="1103"/>
      <c r="W211" s="1103"/>
      <c r="X211" s="1060"/>
      <c r="Y211" s="1095" t="e">
        <f t="shared" si="82"/>
        <v>#VALUE!</v>
      </c>
      <c r="Z211" s="1094">
        <f>tab!B$50</f>
        <v>0.6</v>
      </c>
      <c r="AA211" s="1126" t="e">
        <f t="shared" si="83"/>
        <v>#VALUE!</v>
      </c>
      <c r="AB211" s="1126" t="e">
        <f t="shared" si="84"/>
        <v>#VALUE!</v>
      </c>
      <c r="AC211" s="1126" t="e">
        <f t="shared" si="85"/>
        <v>#VALUE!</v>
      </c>
      <c r="AD211" s="1128" t="e">
        <f t="shared" si="86"/>
        <v>#VALUE!</v>
      </c>
      <c r="AE211" s="1128">
        <f t="shared" si="87"/>
        <v>0</v>
      </c>
      <c r="AF211" s="1096">
        <f>IF(H211&gt;8,tab!$B$51,tab!$B$54)</f>
        <v>0.5</v>
      </c>
      <c r="AG211" s="1097">
        <f t="shared" si="88"/>
        <v>0</v>
      </c>
      <c r="AH211" s="1093">
        <f t="shared" si="89"/>
        <v>0</v>
      </c>
      <c r="AK211" s="176"/>
    </row>
    <row r="212" spans="2:42" ht="12.75" customHeight="1" x14ac:dyDescent="0.3">
      <c r="C212" s="114"/>
      <c r="D212" s="353" t="str">
        <f>IF(obp!D170=0,"",obp!D170)</f>
        <v/>
      </c>
      <c r="E212" s="388" t="str">
        <f>IF(obp!E170=0,"-",obp!E170)</f>
        <v/>
      </c>
      <c r="F212" s="105" t="str">
        <f>IF(obp!F170="","",obp!F170+1)</f>
        <v/>
      </c>
      <c r="G212" s="354" t="str">
        <f>IF(obp!G170="","",obp!G170)</f>
        <v/>
      </c>
      <c r="H212" s="684" t="str">
        <f>IF(obp!H170=0,"",obp!H170)</f>
        <v/>
      </c>
      <c r="I212" s="389" t="str">
        <f>IF(J212="","",(IF(obp!I170+1&gt;LOOKUP(H212,schaal2019,regels2019),obp!I170,obp!I170+1)))</f>
        <v/>
      </c>
      <c r="J212" s="356" t="str">
        <f>IF(obp!J170="","",obp!J170)</f>
        <v/>
      </c>
      <c r="K212" s="370"/>
      <c r="L212" s="1049">
        <f>IF(obp!L170="","",obp!L170)</f>
        <v>0</v>
      </c>
      <c r="M212" s="1049">
        <f>IF(obp!M170="","",obp!M170)</f>
        <v>0</v>
      </c>
      <c r="N212" s="1051" t="str">
        <f t="shared" si="78"/>
        <v/>
      </c>
      <c r="O212" s="1051"/>
      <c r="P212" s="1125" t="str">
        <f t="shared" si="79"/>
        <v/>
      </c>
      <c r="Q212" s="472"/>
      <c r="R212" s="923" t="str">
        <f t="shared" si="90"/>
        <v/>
      </c>
      <c r="S212" s="923" t="str">
        <f t="shared" si="80"/>
        <v/>
      </c>
      <c r="T212" s="925" t="str">
        <f t="shared" si="81"/>
        <v/>
      </c>
      <c r="U212" s="545"/>
      <c r="V212" s="1103"/>
      <c r="W212" s="1103"/>
      <c r="X212" s="1060"/>
      <c r="Y212" s="1095" t="e">
        <f t="shared" si="82"/>
        <v>#VALUE!</v>
      </c>
      <c r="Z212" s="1094">
        <f>tab!B$50</f>
        <v>0.6</v>
      </c>
      <c r="AA212" s="1126" t="e">
        <f t="shared" si="83"/>
        <v>#VALUE!</v>
      </c>
      <c r="AB212" s="1126" t="e">
        <f t="shared" si="84"/>
        <v>#VALUE!</v>
      </c>
      <c r="AC212" s="1126" t="e">
        <f t="shared" si="85"/>
        <v>#VALUE!</v>
      </c>
      <c r="AD212" s="1128" t="e">
        <f t="shared" si="86"/>
        <v>#VALUE!</v>
      </c>
      <c r="AE212" s="1128">
        <f t="shared" si="87"/>
        <v>0</v>
      </c>
      <c r="AF212" s="1096">
        <f>IF(H212&gt;8,tab!$B$51,tab!$B$54)</f>
        <v>0.5</v>
      </c>
      <c r="AG212" s="1097">
        <f t="shared" si="88"/>
        <v>0</v>
      </c>
      <c r="AH212" s="1093">
        <f t="shared" si="89"/>
        <v>0</v>
      </c>
      <c r="AK212" s="176"/>
    </row>
    <row r="213" spans="2:42" ht="12.75" customHeight="1" x14ac:dyDescent="0.3">
      <c r="C213" s="114"/>
      <c r="D213" s="353" t="str">
        <f>IF(obp!D171=0,"",obp!D171)</f>
        <v/>
      </c>
      <c r="E213" s="388" t="str">
        <f>IF(obp!E171=0,"-",obp!E171)</f>
        <v/>
      </c>
      <c r="F213" s="105" t="str">
        <f>IF(obp!F171="","",obp!F171+1)</f>
        <v/>
      </c>
      <c r="G213" s="354" t="str">
        <f>IF(obp!G171="","",obp!G171)</f>
        <v/>
      </c>
      <c r="H213" s="684" t="str">
        <f>IF(obp!H171=0,"",obp!H171)</f>
        <v/>
      </c>
      <c r="I213" s="389" t="str">
        <f>IF(J213="","",(IF(obp!I171+1&gt;LOOKUP(H213,schaal2019,regels2019),obp!I171,obp!I171+1)))</f>
        <v/>
      </c>
      <c r="J213" s="356" t="str">
        <f>IF(obp!J171="","",obp!J171)</f>
        <v/>
      </c>
      <c r="K213" s="370"/>
      <c r="L213" s="1049">
        <f>IF(obp!L171="","",obp!L171)</f>
        <v>0</v>
      </c>
      <c r="M213" s="1049">
        <f>IF(obp!M171="","",obp!M171)</f>
        <v>0</v>
      </c>
      <c r="N213" s="1051" t="str">
        <f t="shared" si="78"/>
        <v/>
      </c>
      <c r="O213" s="1051"/>
      <c r="P213" s="1125" t="str">
        <f t="shared" si="79"/>
        <v/>
      </c>
      <c r="Q213" s="472"/>
      <c r="R213" s="923" t="str">
        <f t="shared" si="90"/>
        <v/>
      </c>
      <c r="S213" s="923" t="str">
        <f t="shared" si="80"/>
        <v/>
      </c>
      <c r="T213" s="925" t="str">
        <f t="shared" si="81"/>
        <v/>
      </c>
      <c r="U213" s="545"/>
      <c r="V213" s="1103"/>
      <c r="W213" s="1103"/>
      <c r="X213" s="1060"/>
      <c r="Y213" s="1095" t="e">
        <f t="shared" si="82"/>
        <v>#VALUE!</v>
      </c>
      <c r="Z213" s="1094">
        <f>tab!B$50</f>
        <v>0.6</v>
      </c>
      <c r="AA213" s="1126" t="e">
        <f t="shared" si="83"/>
        <v>#VALUE!</v>
      </c>
      <c r="AB213" s="1126" t="e">
        <f t="shared" si="84"/>
        <v>#VALUE!</v>
      </c>
      <c r="AC213" s="1126" t="e">
        <f t="shared" si="85"/>
        <v>#VALUE!</v>
      </c>
      <c r="AD213" s="1128" t="e">
        <f t="shared" si="86"/>
        <v>#VALUE!</v>
      </c>
      <c r="AE213" s="1128">
        <f t="shared" si="87"/>
        <v>0</v>
      </c>
      <c r="AF213" s="1096">
        <f>IF(H213&gt;8,tab!$B$51,tab!$B$54)</f>
        <v>0.5</v>
      </c>
      <c r="AG213" s="1097">
        <f t="shared" si="88"/>
        <v>0</v>
      </c>
      <c r="AH213" s="1093">
        <f t="shared" si="89"/>
        <v>0</v>
      </c>
      <c r="AK213" s="176"/>
    </row>
    <row r="214" spans="2:42" ht="12.75" customHeight="1" x14ac:dyDescent="0.3">
      <c r="C214" s="114"/>
      <c r="D214" s="353" t="str">
        <f>IF(obp!D172=0,"",obp!D172)</f>
        <v/>
      </c>
      <c r="E214" s="388" t="str">
        <f>IF(obp!E172=0,"-",obp!E172)</f>
        <v/>
      </c>
      <c r="F214" s="105" t="str">
        <f>IF(obp!F172="","",obp!F172+1)</f>
        <v/>
      </c>
      <c r="G214" s="354" t="str">
        <f>IF(obp!G172="","",obp!G172)</f>
        <v/>
      </c>
      <c r="H214" s="684" t="str">
        <f>IF(obp!H172=0,"",obp!H172)</f>
        <v/>
      </c>
      <c r="I214" s="389" t="str">
        <f>IF(J214="","",(IF(obp!I172+1&gt;LOOKUP(H214,schaal2019,regels2019),obp!I172,obp!I172+1)))</f>
        <v/>
      </c>
      <c r="J214" s="356" t="str">
        <f>IF(obp!J172="","",obp!J172)</f>
        <v/>
      </c>
      <c r="K214" s="370"/>
      <c r="L214" s="1049">
        <f>IF(obp!L172="","",obp!L172)</f>
        <v>0</v>
      </c>
      <c r="M214" s="1049">
        <f>IF(obp!M172="","",obp!M172)</f>
        <v>0</v>
      </c>
      <c r="N214" s="1051" t="str">
        <f t="shared" si="78"/>
        <v/>
      </c>
      <c r="O214" s="1051"/>
      <c r="P214" s="1125" t="str">
        <f t="shared" si="79"/>
        <v/>
      </c>
      <c r="Q214" s="472"/>
      <c r="R214" s="923" t="str">
        <f t="shared" si="90"/>
        <v/>
      </c>
      <c r="S214" s="923" t="str">
        <f t="shared" si="80"/>
        <v/>
      </c>
      <c r="T214" s="925" t="str">
        <f t="shared" si="81"/>
        <v/>
      </c>
      <c r="U214" s="545"/>
      <c r="V214" s="1103"/>
      <c r="W214" s="1103"/>
      <c r="X214" s="1060"/>
      <c r="Y214" s="1095" t="e">
        <f t="shared" si="82"/>
        <v>#VALUE!</v>
      </c>
      <c r="Z214" s="1094">
        <f>tab!B$50</f>
        <v>0.6</v>
      </c>
      <c r="AA214" s="1126" t="e">
        <f t="shared" si="83"/>
        <v>#VALUE!</v>
      </c>
      <c r="AB214" s="1126" t="e">
        <f t="shared" si="84"/>
        <v>#VALUE!</v>
      </c>
      <c r="AC214" s="1126" t="e">
        <f t="shared" si="85"/>
        <v>#VALUE!</v>
      </c>
      <c r="AD214" s="1128" t="e">
        <f t="shared" si="86"/>
        <v>#VALUE!</v>
      </c>
      <c r="AE214" s="1128">
        <f t="shared" si="87"/>
        <v>0</v>
      </c>
      <c r="AF214" s="1096">
        <f>IF(H214&gt;8,tab!$B$51,tab!$B$54)</f>
        <v>0.5</v>
      </c>
      <c r="AG214" s="1097">
        <f t="shared" si="88"/>
        <v>0</v>
      </c>
      <c r="AH214" s="1093">
        <f t="shared" si="89"/>
        <v>0</v>
      </c>
      <c r="AK214" s="176"/>
    </row>
    <row r="215" spans="2:42" ht="12.75" customHeight="1" x14ac:dyDescent="0.3">
      <c r="C215" s="114"/>
      <c r="D215" s="353" t="str">
        <f>IF(obp!D173=0,"",obp!D173)</f>
        <v/>
      </c>
      <c r="E215" s="388" t="str">
        <f>IF(obp!E173=0,"-",obp!E173)</f>
        <v/>
      </c>
      <c r="F215" s="105" t="str">
        <f>IF(obp!F173="","",obp!F173+1)</f>
        <v/>
      </c>
      <c r="G215" s="354" t="str">
        <f>IF(obp!G173="","",obp!G173)</f>
        <v/>
      </c>
      <c r="H215" s="684" t="str">
        <f>IF(obp!H173=0,"",obp!H173)</f>
        <v/>
      </c>
      <c r="I215" s="389" t="str">
        <f>IF(J215="","",(IF(obp!I173+1&gt;LOOKUP(H215,schaal2019,regels2019),obp!I173,obp!I173+1)))</f>
        <v/>
      </c>
      <c r="J215" s="356" t="str">
        <f>IF(obp!J173="","",obp!J173)</f>
        <v/>
      </c>
      <c r="K215" s="370"/>
      <c r="L215" s="1049">
        <f>IF(obp!L173="","",obp!L173)</f>
        <v>0</v>
      </c>
      <c r="M215" s="1049">
        <f>IF(obp!M173="","",obp!M173)</f>
        <v>0</v>
      </c>
      <c r="N215" s="1051" t="str">
        <f t="shared" si="78"/>
        <v/>
      </c>
      <c r="O215" s="1051"/>
      <c r="P215" s="1125" t="str">
        <f t="shared" si="79"/>
        <v/>
      </c>
      <c r="Q215" s="472"/>
      <c r="R215" s="923" t="str">
        <f t="shared" si="90"/>
        <v/>
      </c>
      <c r="S215" s="923" t="str">
        <f t="shared" si="80"/>
        <v/>
      </c>
      <c r="T215" s="925" t="str">
        <f t="shared" si="81"/>
        <v/>
      </c>
      <c r="U215" s="545"/>
      <c r="V215" s="1103"/>
      <c r="W215" s="1103"/>
      <c r="X215" s="1060"/>
      <c r="Y215" s="1095" t="e">
        <f t="shared" si="82"/>
        <v>#VALUE!</v>
      </c>
      <c r="Z215" s="1094">
        <f>tab!B$50</f>
        <v>0.6</v>
      </c>
      <c r="AA215" s="1126" t="e">
        <f t="shared" si="83"/>
        <v>#VALUE!</v>
      </c>
      <c r="AB215" s="1126" t="e">
        <f t="shared" si="84"/>
        <v>#VALUE!</v>
      </c>
      <c r="AC215" s="1126" t="e">
        <f t="shared" si="85"/>
        <v>#VALUE!</v>
      </c>
      <c r="AD215" s="1128" t="e">
        <f t="shared" si="86"/>
        <v>#VALUE!</v>
      </c>
      <c r="AE215" s="1128">
        <f t="shared" si="87"/>
        <v>0</v>
      </c>
      <c r="AF215" s="1096">
        <f>IF(H215&gt;8,tab!$B$51,tab!$B$54)</f>
        <v>0.5</v>
      </c>
      <c r="AG215" s="1097">
        <f t="shared" si="88"/>
        <v>0</v>
      </c>
      <c r="AH215" s="1093">
        <f t="shared" si="89"/>
        <v>0</v>
      </c>
      <c r="AK215" s="176"/>
    </row>
    <row r="216" spans="2:42" x14ac:dyDescent="0.3">
      <c r="C216" s="114"/>
      <c r="D216" s="730"/>
      <c r="E216" s="731"/>
      <c r="F216" s="119"/>
      <c r="G216" s="683"/>
      <c r="H216" s="732"/>
      <c r="I216" s="369"/>
      <c r="J216" s="963">
        <f>SUM(J186:J215)</f>
        <v>1</v>
      </c>
      <c r="K216" s="715"/>
      <c r="L216" s="1062">
        <f t="shared" ref="L216:P216" si="91">SUM(L186:L215)</f>
        <v>0</v>
      </c>
      <c r="M216" s="1062">
        <f t="shared" si="91"/>
        <v>0</v>
      </c>
      <c r="N216" s="1039">
        <f>SUM(N186:N215)</f>
        <v>40</v>
      </c>
      <c r="O216" s="919"/>
      <c r="P216" s="1039">
        <f t="shared" si="91"/>
        <v>40</v>
      </c>
      <c r="Q216" s="715"/>
      <c r="R216" s="964">
        <f t="shared" ref="R216:T216" si="92">SUM(R186:R215)</f>
        <v>61326.431826401451</v>
      </c>
      <c r="S216" s="965">
        <f t="shared" si="92"/>
        <v>1515.1681735985535</v>
      </c>
      <c r="T216" s="962">
        <f t="shared" si="92"/>
        <v>62841.600000000006</v>
      </c>
      <c r="U216" s="117"/>
      <c r="V216" s="1063"/>
      <c r="W216" s="1063"/>
      <c r="Y216" s="1112"/>
      <c r="Z216" s="1113"/>
      <c r="AA216" s="1113"/>
      <c r="AB216" s="1113"/>
      <c r="AC216" s="1113"/>
      <c r="AG216" s="1090">
        <f>SUM(AG186:AG215)</f>
        <v>0</v>
      </c>
      <c r="AH216" s="1114">
        <f>SUM(AH186:AH215)</f>
        <v>0</v>
      </c>
    </row>
    <row r="217" spans="2:42" x14ac:dyDescent="0.3">
      <c r="C217" s="626"/>
      <c r="D217" s="234"/>
      <c r="E217" s="234"/>
      <c r="F217" s="671"/>
      <c r="G217" s="671"/>
      <c r="H217" s="671"/>
      <c r="I217" s="672"/>
      <c r="J217" s="673"/>
      <c r="K217" s="672"/>
      <c r="L217" s="672"/>
      <c r="M217" s="672"/>
      <c r="N217" s="673"/>
      <c r="O217" s="672"/>
      <c r="P217" s="672"/>
      <c r="Q217" s="672"/>
      <c r="R217" s="378"/>
      <c r="S217" s="379"/>
      <c r="T217" s="780"/>
      <c r="U217" s="674"/>
      <c r="V217" s="1063"/>
      <c r="W217" s="1063"/>
      <c r="Y217" s="1115"/>
      <c r="Z217" s="1098"/>
      <c r="AA217" s="1098"/>
      <c r="AB217" s="1098"/>
      <c r="AC217" s="1098"/>
      <c r="AG217" s="1099"/>
      <c r="AH217" s="1100"/>
    </row>
    <row r="218" spans="2:42" x14ac:dyDescent="0.3">
      <c r="V218" s="1063"/>
      <c r="W218" s="1063"/>
    </row>
    <row r="219" spans="2:42" x14ac:dyDescent="0.3">
      <c r="V219" s="1063"/>
      <c r="W219" s="1063"/>
    </row>
    <row r="220" spans="2:42" x14ac:dyDescent="0.3">
      <c r="C220" s="8" t="s">
        <v>180</v>
      </c>
      <c r="E220" s="289" t="str">
        <f>dir!E119</f>
        <v>2024/25</v>
      </c>
      <c r="V220" s="1063"/>
      <c r="W220" s="1063"/>
    </row>
    <row r="221" spans="2:42" x14ac:dyDescent="0.3">
      <c r="C221" s="8" t="s">
        <v>193</v>
      </c>
      <c r="E221" s="289">
        <f>dir!E120</f>
        <v>45566</v>
      </c>
      <c r="V221" s="1063"/>
      <c r="W221" s="1063"/>
    </row>
    <row r="222" spans="2:42" x14ac:dyDescent="0.3">
      <c r="V222" s="1063"/>
      <c r="W222" s="1063"/>
    </row>
    <row r="223" spans="2:42" ht="12.75" customHeight="1" x14ac:dyDescent="0.3">
      <c r="C223" s="163"/>
      <c r="D223" s="961"/>
      <c r="E223" s="927"/>
      <c r="F223" s="928"/>
      <c r="G223" s="929"/>
      <c r="H223" s="930"/>
      <c r="I223" s="930"/>
      <c r="J223" s="931"/>
      <c r="K223" s="932"/>
      <c r="L223" s="930"/>
      <c r="M223" s="930"/>
      <c r="N223" s="931"/>
      <c r="O223" s="930"/>
      <c r="P223" s="930"/>
      <c r="Q223" s="932"/>
      <c r="R223" s="932"/>
      <c r="S223" s="933"/>
      <c r="T223" s="934"/>
      <c r="U223" s="109"/>
      <c r="V223" s="1063"/>
      <c r="W223" s="1063"/>
      <c r="AE223" s="1077"/>
      <c r="AF223" s="1078"/>
      <c r="AI223" s="1077"/>
      <c r="AJ223" s="1089"/>
      <c r="AK223" s="270"/>
      <c r="AL223" s="271"/>
      <c r="AM223" s="283"/>
      <c r="AN223" s="18"/>
    </row>
    <row r="224" spans="2:42" s="129" customFormat="1" ht="12.75" customHeight="1" x14ac:dyDescent="0.3">
      <c r="B224" s="134"/>
      <c r="C224" s="382"/>
      <c r="D224" s="1033" t="s">
        <v>285</v>
      </c>
      <c r="E224" s="1033"/>
      <c r="F224" s="1033"/>
      <c r="G224" s="1033"/>
      <c r="H224" s="1033"/>
      <c r="I224" s="1033"/>
      <c r="J224" s="1033"/>
      <c r="K224" s="1034"/>
      <c r="L224" s="1033" t="s">
        <v>502</v>
      </c>
      <c r="M224" s="1035"/>
      <c r="N224" s="1033"/>
      <c r="O224" s="1033"/>
      <c r="P224" s="1133"/>
      <c r="Q224" s="902"/>
      <c r="R224" s="1033" t="s">
        <v>503</v>
      </c>
      <c r="S224" s="1036"/>
      <c r="T224" s="1134"/>
      <c r="U224" s="1135"/>
      <c r="V224" s="1064"/>
      <c r="W224" s="1064"/>
      <c r="X224" s="384"/>
      <c r="Y224" s="1063"/>
      <c r="Z224" s="1136"/>
      <c r="AA224" s="1063"/>
      <c r="AB224" s="1063"/>
      <c r="AC224" s="1063"/>
      <c r="AD224" s="1137"/>
      <c r="AE224" s="1137"/>
      <c r="AF224" s="1136"/>
      <c r="AG224" s="1090"/>
      <c r="AH224" s="1091"/>
      <c r="AI224" s="1063"/>
      <c r="AJ224" s="1063"/>
      <c r="AO224" s="384"/>
      <c r="AP224" s="384"/>
    </row>
    <row r="225" spans="2:42" s="129" customFormat="1" ht="12.75" customHeight="1" x14ac:dyDescent="0.3">
      <c r="B225" s="134"/>
      <c r="C225" s="382"/>
      <c r="D225" s="903" t="s">
        <v>494</v>
      </c>
      <c r="E225" s="877" t="s">
        <v>181</v>
      </c>
      <c r="F225" s="904" t="s">
        <v>137</v>
      </c>
      <c r="G225" s="905" t="s">
        <v>273</v>
      </c>
      <c r="H225" s="904" t="s">
        <v>206</v>
      </c>
      <c r="I225" s="904" t="s">
        <v>225</v>
      </c>
      <c r="J225" s="906" t="s">
        <v>140</v>
      </c>
      <c r="K225" s="914"/>
      <c r="L225" s="907" t="s">
        <v>479</v>
      </c>
      <c r="M225" s="907" t="s">
        <v>480</v>
      </c>
      <c r="N225" s="907" t="s">
        <v>478</v>
      </c>
      <c r="O225" s="907" t="s">
        <v>479</v>
      </c>
      <c r="P225" s="1138" t="s">
        <v>504</v>
      </c>
      <c r="Q225" s="881"/>
      <c r="R225" s="1037" t="s">
        <v>192</v>
      </c>
      <c r="S225" s="909" t="s">
        <v>505</v>
      </c>
      <c r="T225" s="910" t="s">
        <v>192</v>
      </c>
      <c r="U225" s="1139"/>
      <c r="V225" s="1101"/>
      <c r="W225" s="1101"/>
      <c r="X225" s="386"/>
      <c r="Y225" s="915" t="s">
        <v>303</v>
      </c>
      <c r="Z225" s="1127" t="s">
        <v>497</v>
      </c>
      <c r="AA225" s="1101" t="s">
        <v>498</v>
      </c>
      <c r="AB225" s="1101" t="s">
        <v>498</v>
      </c>
      <c r="AC225" s="1101" t="s">
        <v>495</v>
      </c>
      <c r="AD225" s="1048" t="s">
        <v>488</v>
      </c>
      <c r="AE225" s="1048" t="s">
        <v>489</v>
      </c>
      <c r="AF225" s="916" t="s">
        <v>490</v>
      </c>
      <c r="AG225" s="1092" t="s">
        <v>297</v>
      </c>
      <c r="AH225" s="1091" t="s">
        <v>427</v>
      </c>
      <c r="AI225" s="1063"/>
      <c r="AJ225" s="1063"/>
      <c r="AO225" s="384"/>
      <c r="AP225" s="386"/>
    </row>
    <row r="226" spans="2:42" s="129" customFormat="1" ht="12.75" customHeight="1" x14ac:dyDescent="0.3">
      <c r="B226" s="134"/>
      <c r="C226" s="382"/>
      <c r="D226" s="911"/>
      <c r="E226" s="877"/>
      <c r="F226" s="904" t="s">
        <v>138</v>
      </c>
      <c r="G226" s="905" t="s">
        <v>274</v>
      </c>
      <c r="H226" s="904"/>
      <c r="I226" s="904"/>
      <c r="J226" s="906" t="s">
        <v>452</v>
      </c>
      <c r="K226" s="914"/>
      <c r="L226" s="907" t="s">
        <v>482</v>
      </c>
      <c r="M226" s="907" t="s">
        <v>483</v>
      </c>
      <c r="N226" s="907" t="s">
        <v>481</v>
      </c>
      <c r="O226" s="907" t="s">
        <v>493</v>
      </c>
      <c r="P226" s="1138" t="s">
        <v>269</v>
      </c>
      <c r="Q226" s="881"/>
      <c r="R226" s="908" t="s">
        <v>506</v>
      </c>
      <c r="S226" s="909" t="s">
        <v>484</v>
      </c>
      <c r="T226" s="910" t="s">
        <v>269</v>
      </c>
      <c r="U226" s="887"/>
      <c r="V226" s="1063"/>
      <c r="W226" s="1063"/>
      <c r="Y226" s="915" t="s">
        <v>197</v>
      </c>
      <c r="Z226" s="1129">
        <f>tab!B$50</f>
        <v>0.6</v>
      </c>
      <c r="AA226" s="1101" t="s">
        <v>499</v>
      </c>
      <c r="AB226" s="1101" t="s">
        <v>500</v>
      </c>
      <c r="AC226" s="1101" t="s">
        <v>501</v>
      </c>
      <c r="AD226" s="1048" t="s">
        <v>491</v>
      </c>
      <c r="AE226" s="1048" t="s">
        <v>491</v>
      </c>
      <c r="AF226" s="916" t="s">
        <v>492</v>
      </c>
      <c r="AG226" s="1092"/>
      <c r="AH226" s="1093" t="s">
        <v>224</v>
      </c>
      <c r="AI226" s="1063"/>
      <c r="AJ226" s="1063"/>
      <c r="AP226" s="675"/>
    </row>
    <row r="227" spans="2:42" ht="12.75" customHeight="1" x14ac:dyDescent="0.3">
      <c r="C227" s="114"/>
      <c r="D227" s="912"/>
      <c r="E227" s="912"/>
      <c r="F227" s="912"/>
      <c r="G227" s="912"/>
      <c r="H227" s="912"/>
      <c r="I227" s="912"/>
      <c r="J227" s="912"/>
      <c r="K227" s="913"/>
      <c r="L227" s="912"/>
      <c r="M227" s="912"/>
      <c r="N227" s="912"/>
      <c r="O227" s="912"/>
      <c r="P227" s="912"/>
      <c r="Q227" s="913"/>
      <c r="R227" s="935"/>
      <c r="S227" s="917"/>
      <c r="T227" s="936"/>
      <c r="U227" s="113"/>
      <c r="V227" s="1063"/>
      <c r="W227" s="1063"/>
      <c r="Y227" s="915"/>
      <c r="Z227" s="1064"/>
      <c r="AA227" s="1064"/>
      <c r="AB227" s="1064"/>
      <c r="AC227" s="1064"/>
      <c r="AE227" s="1063"/>
      <c r="AF227" s="1063"/>
      <c r="AG227" s="1092"/>
      <c r="AH227" s="1093"/>
      <c r="AM227" s="8"/>
      <c r="AN227" s="8"/>
      <c r="AP227" s="291"/>
    </row>
    <row r="228" spans="2:42" ht="12.75" customHeight="1" x14ac:dyDescent="0.3">
      <c r="C228" s="114"/>
      <c r="D228" s="353" t="str">
        <f>IF(obp!D186=0,"",obp!D186)</f>
        <v/>
      </c>
      <c r="E228" s="388" t="str">
        <f>IF(obp!E186=0,"-",obp!E186)</f>
        <v>nn</v>
      </c>
      <c r="F228" s="684" t="str">
        <f>IF(obp!F186="","",obp!F186+1)</f>
        <v/>
      </c>
      <c r="G228" s="710" t="str">
        <f>IF(obp!G186="","",obp!G186)</f>
        <v/>
      </c>
      <c r="H228" s="684">
        <f>IF(obp!H186=0,"",obp!H186)</f>
        <v>8</v>
      </c>
      <c r="I228" s="389">
        <f>IF(J228="","",(IF(obp!I186+1&gt;LOOKUP(H228,schaal2019,regels2019),obp!I186,obp!I186+1)))</f>
        <v>13</v>
      </c>
      <c r="J228" s="711">
        <f>IF(obp!J186="","",obp!J186)</f>
        <v>1</v>
      </c>
      <c r="K228" s="370"/>
      <c r="L228" s="1049">
        <f>IF(obp!L186="","",obp!L186)</f>
        <v>0</v>
      </c>
      <c r="M228" s="1049">
        <f>IF(obp!M186="","",obp!M186)</f>
        <v>0</v>
      </c>
      <c r="N228" s="1051">
        <f t="shared" ref="N228:N257" si="93">IF(J228="","",IF((J228*40)&gt;40,40,((J228*40))))</f>
        <v>40</v>
      </c>
      <c r="O228" s="1051"/>
      <c r="P228" s="1125">
        <f t="shared" ref="P228:P257" si="94">IF(J228="","",(SUM(L228:O228)))</f>
        <v>40</v>
      </c>
      <c r="Q228" s="472"/>
      <c r="R228" s="923">
        <f>IF(J228="","",(((1659*J228)-P228)*AB228))</f>
        <v>62413.181916817368</v>
      </c>
      <c r="S228" s="923">
        <f t="shared" ref="S228:S257" si="95">IF(J228="","",(P228*AC228)+(AA228*AD228)+((AE228*AA228*(1-AF228))))</f>
        <v>1542.0180831826403</v>
      </c>
      <c r="T228" s="925">
        <f t="shared" ref="T228:T257" si="96">IF(J228="","",(R228+S228))</f>
        <v>63955.200000000012</v>
      </c>
      <c r="U228" s="545"/>
      <c r="V228" s="1103"/>
      <c r="W228" s="1103"/>
      <c r="X228" s="1060"/>
      <c r="Y228" s="1095">
        <f t="shared" ref="Y228:Y257" si="97">ROUND(5/12*VLOOKUP(H228,salaris2020,I228+1,FALSE)+7/12*VLOOKUP(H228,salaris2020,I228+1,FALSE),0)</f>
        <v>3331</v>
      </c>
      <c r="Z228" s="1094">
        <f>tab!B$50</f>
        <v>0.6</v>
      </c>
      <c r="AA228" s="1126">
        <f t="shared" ref="AA228:AA257" si="98">(Y228*12/1659)</f>
        <v>24.094032549728752</v>
      </c>
      <c r="AB228" s="1126">
        <f t="shared" ref="AB228:AB257" si="99">(Y228*12*(1+Z228))/1659</f>
        <v>38.550452079566007</v>
      </c>
      <c r="AC228" s="1126">
        <f t="shared" ref="AC228:AC257" si="100">AB228-AA228</f>
        <v>14.456419529837255</v>
      </c>
      <c r="AD228" s="1128">
        <f t="shared" ref="AD228:AD257" si="101">(N228+O228)</f>
        <v>40</v>
      </c>
      <c r="AE228" s="1128">
        <f t="shared" ref="AE228:AE257" si="102">(L228+M228)</f>
        <v>0</v>
      </c>
      <c r="AF228" s="1096">
        <f>IF(H228&gt;8,tab!$B$51,tab!$B$54)</f>
        <v>0.4</v>
      </c>
      <c r="AG228" s="1097">
        <f t="shared" ref="AG228:AG257" si="103">IF(F228&lt;25,0,IF(F228=25,25,IF(F228&lt;40,0,IF(F228=40,40,IF(F228&gt;=40,0)))))</f>
        <v>0</v>
      </c>
      <c r="AH228" s="1093">
        <f t="shared" ref="AH228:AH257" si="104">IF(AG228=25,(Y228*1.08*(J228)/2),IF(AG228=40,(Y228*1.08*(J228)),IF(AG228=0,0)))</f>
        <v>0</v>
      </c>
      <c r="AK228" s="176"/>
    </row>
    <row r="229" spans="2:42" ht="12.75" customHeight="1" x14ac:dyDescent="0.3">
      <c r="C229" s="114"/>
      <c r="D229" s="353" t="str">
        <f>IF(obp!D187=0,"",obp!D187)</f>
        <v/>
      </c>
      <c r="E229" s="388" t="str">
        <f>IF(obp!E187=0,"-",obp!E187)</f>
        <v/>
      </c>
      <c r="F229" s="684" t="str">
        <f>IF(obp!F187="","",obp!F187+1)</f>
        <v/>
      </c>
      <c r="G229" s="710" t="str">
        <f>IF(obp!G187="","",obp!G187)</f>
        <v/>
      </c>
      <c r="H229" s="684" t="str">
        <f>IF(obp!H187=0,"",obp!H187)</f>
        <v/>
      </c>
      <c r="I229" s="389" t="str">
        <f>IF(J229="","",(IF(obp!I187+1&gt;LOOKUP(H229,schaal2019,regels2019),obp!I187,obp!I187+1)))</f>
        <v/>
      </c>
      <c r="J229" s="711" t="str">
        <f>IF(obp!J187="","",obp!J187)</f>
        <v/>
      </c>
      <c r="K229" s="370"/>
      <c r="L229" s="1049">
        <f>IF(obp!L187="","",obp!L187)</f>
        <v>0</v>
      </c>
      <c r="M229" s="1049">
        <f>IF(obp!M187="","",obp!M187)</f>
        <v>0</v>
      </c>
      <c r="N229" s="1051" t="str">
        <f t="shared" si="93"/>
        <v/>
      </c>
      <c r="O229" s="1051"/>
      <c r="P229" s="1125" t="str">
        <f t="shared" si="94"/>
        <v/>
      </c>
      <c r="Q229" s="472"/>
      <c r="R229" s="923" t="str">
        <f t="shared" ref="R229:R257" si="105">IF(J229="","",(((1659*J229)-P229)*AB229))</f>
        <v/>
      </c>
      <c r="S229" s="923" t="str">
        <f t="shared" si="95"/>
        <v/>
      </c>
      <c r="T229" s="925" t="str">
        <f t="shared" si="96"/>
        <v/>
      </c>
      <c r="U229" s="545"/>
      <c r="V229" s="1103"/>
      <c r="W229" s="1103"/>
      <c r="X229" s="1060"/>
      <c r="Y229" s="1095" t="e">
        <f t="shared" si="97"/>
        <v>#VALUE!</v>
      </c>
      <c r="Z229" s="1094">
        <f>tab!B$50</f>
        <v>0.6</v>
      </c>
      <c r="AA229" s="1126" t="e">
        <f t="shared" si="98"/>
        <v>#VALUE!</v>
      </c>
      <c r="AB229" s="1126" t="e">
        <f t="shared" si="99"/>
        <v>#VALUE!</v>
      </c>
      <c r="AC229" s="1126" t="e">
        <f t="shared" si="100"/>
        <v>#VALUE!</v>
      </c>
      <c r="AD229" s="1128" t="e">
        <f t="shared" si="101"/>
        <v>#VALUE!</v>
      </c>
      <c r="AE229" s="1128">
        <f t="shared" si="102"/>
        <v>0</v>
      </c>
      <c r="AF229" s="1096">
        <f>IF(H229&gt;8,tab!$B$51,tab!$B$54)</f>
        <v>0.5</v>
      </c>
      <c r="AG229" s="1097">
        <f t="shared" si="103"/>
        <v>0</v>
      </c>
      <c r="AH229" s="1093">
        <f t="shared" si="104"/>
        <v>0</v>
      </c>
      <c r="AK229" s="176"/>
    </row>
    <row r="230" spans="2:42" ht="12.75" customHeight="1" x14ac:dyDescent="0.3">
      <c r="C230" s="114"/>
      <c r="D230" s="353" t="str">
        <f>IF(obp!D188=0,"",obp!D188)</f>
        <v/>
      </c>
      <c r="E230" s="388" t="str">
        <f>IF(obp!E188=0,"-",obp!E188)</f>
        <v/>
      </c>
      <c r="F230" s="684" t="str">
        <f>IF(obp!F188="","",obp!F188+1)</f>
        <v/>
      </c>
      <c r="G230" s="710" t="str">
        <f>IF(obp!G188="","",obp!G188)</f>
        <v/>
      </c>
      <c r="H230" s="684" t="str">
        <f>IF(obp!H188=0,"",obp!H188)</f>
        <v/>
      </c>
      <c r="I230" s="389" t="str">
        <f>IF(J230="","",(IF(obp!I188+1&gt;LOOKUP(H230,schaal2019,regels2019),obp!I188,obp!I188+1)))</f>
        <v/>
      </c>
      <c r="J230" s="711" t="str">
        <f>IF(obp!J188="","",obp!J188)</f>
        <v/>
      </c>
      <c r="K230" s="370"/>
      <c r="L230" s="1049">
        <f>IF(obp!L188="","",obp!L188)</f>
        <v>0</v>
      </c>
      <c r="M230" s="1049">
        <f>IF(obp!M188="","",obp!M188)</f>
        <v>0</v>
      </c>
      <c r="N230" s="1051" t="str">
        <f t="shared" si="93"/>
        <v/>
      </c>
      <c r="O230" s="1051"/>
      <c r="P230" s="1125" t="str">
        <f t="shared" si="94"/>
        <v/>
      </c>
      <c r="Q230" s="472"/>
      <c r="R230" s="923" t="str">
        <f t="shared" si="105"/>
        <v/>
      </c>
      <c r="S230" s="923" t="str">
        <f t="shared" si="95"/>
        <v/>
      </c>
      <c r="T230" s="925" t="str">
        <f t="shared" si="96"/>
        <v/>
      </c>
      <c r="U230" s="545"/>
      <c r="V230" s="1103"/>
      <c r="W230" s="1103"/>
      <c r="X230" s="1060"/>
      <c r="Y230" s="1095" t="e">
        <f t="shared" si="97"/>
        <v>#VALUE!</v>
      </c>
      <c r="Z230" s="1094">
        <f>tab!B$50</f>
        <v>0.6</v>
      </c>
      <c r="AA230" s="1126" t="e">
        <f t="shared" si="98"/>
        <v>#VALUE!</v>
      </c>
      <c r="AB230" s="1126" t="e">
        <f t="shared" si="99"/>
        <v>#VALUE!</v>
      </c>
      <c r="AC230" s="1126" t="e">
        <f t="shared" si="100"/>
        <v>#VALUE!</v>
      </c>
      <c r="AD230" s="1128" t="e">
        <f t="shared" si="101"/>
        <v>#VALUE!</v>
      </c>
      <c r="AE230" s="1128">
        <f t="shared" si="102"/>
        <v>0</v>
      </c>
      <c r="AF230" s="1096">
        <f>IF(H230&gt;8,tab!$B$51,tab!$B$54)</f>
        <v>0.5</v>
      </c>
      <c r="AG230" s="1097">
        <f t="shared" si="103"/>
        <v>0</v>
      </c>
      <c r="AH230" s="1093">
        <f t="shared" si="104"/>
        <v>0</v>
      </c>
      <c r="AK230" s="176"/>
    </row>
    <row r="231" spans="2:42" ht="12.75" customHeight="1" x14ac:dyDescent="0.3">
      <c r="C231" s="114"/>
      <c r="D231" s="353" t="str">
        <f>IF(obp!D189=0,"",obp!D189)</f>
        <v/>
      </c>
      <c r="E231" s="388" t="str">
        <f>IF(obp!E189=0,"-",obp!E189)</f>
        <v/>
      </c>
      <c r="F231" s="684" t="str">
        <f>IF(obp!F189="","",obp!F189+1)</f>
        <v/>
      </c>
      <c r="G231" s="710" t="str">
        <f>IF(obp!G189="","",obp!G189)</f>
        <v/>
      </c>
      <c r="H231" s="684" t="str">
        <f>IF(obp!H189=0,"",obp!H189)</f>
        <v/>
      </c>
      <c r="I231" s="389" t="str">
        <f>IF(J231="","",(IF(obp!I189+1&gt;LOOKUP(H231,schaal2019,regels2019),obp!I189,obp!I189+1)))</f>
        <v/>
      </c>
      <c r="J231" s="711" t="str">
        <f>IF(obp!J189="","",obp!J189)</f>
        <v/>
      </c>
      <c r="K231" s="370"/>
      <c r="L231" s="1049">
        <f>IF(obp!L189="","",obp!L189)</f>
        <v>0</v>
      </c>
      <c r="M231" s="1049">
        <f>IF(obp!M189="","",obp!M189)</f>
        <v>0</v>
      </c>
      <c r="N231" s="1051" t="str">
        <f t="shared" si="93"/>
        <v/>
      </c>
      <c r="O231" s="1051"/>
      <c r="P231" s="1125" t="str">
        <f t="shared" si="94"/>
        <v/>
      </c>
      <c r="Q231" s="472"/>
      <c r="R231" s="923" t="str">
        <f t="shared" si="105"/>
        <v/>
      </c>
      <c r="S231" s="923" t="str">
        <f t="shared" si="95"/>
        <v/>
      </c>
      <c r="T231" s="925" t="str">
        <f t="shared" si="96"/>
        <v/>
      </c>
      <c r="U231" s="545"/>
      <c r="V231" s="1103"/>
      <c r="W231" s="1103"/>
      <c r="X231" s="1060"/>
      <c r="Y231" s="1095" t="e">
        <f t="shared" si="97"/>
        <v>#VALUE!</v>
      </c>
      <c r="Z231" s="1094">
        <f>tab!B$50</f>
        <v>0.6</v>
      </c>
      <c r="AA231" s="1126" t="e">
        <f t="shared" si="98"/>
        <v>#VALUE!</v>
      </c>
      <c r="AB231" s="1126" t="e">
        <f t="shared" si="99"/>
        <v>#VALUE!</v>
      </c>
      <c r="AC231" s="1126" t="e">
        <f t="shared" si="100"/>
        <v>#VALUE!</v>
      </c>
      <c r="AD231" s="1128" t="e">
        <f t="shared" si="101"/>
        <v>#VALUE!</v>
      </c>
      <c r="AE231" s="1128">
        <f t="shared" si="102"/>
        <v>0</v>
      </c>
      <c r="AF231" s="1096">
        <f>IF(H231&gt;8,tab!$B$51,tab!$B$54)</f>
        <v>0.5</v>
      </c>
      <c r="AG231" s="1097">
        <f t="shared" si="103"/>
        <v>0</v>
      </c>
      <c r="AH231" s="1093">
        <f t="shared" si="104"/>
        <v>0</v>
      </c>
      <c r="AK231" s="176"/>
    </row>
    <row r="232" spans="2:42" ht="12.75" customHeight="1" x14ac:dyDescent="0.3">
      <c r="C232" s="114"/>
      <c r="D232" s="353" t="str">
        <f>IF(obp!D190=0,"",obp!D190)</f>
        <v/>
      </c>
      <c r="E232" s="388" t="str">
        <f>IF(obp!E190=0,"-",obp!E190)</f>
        <v/>
      </c>
      <c r="F232" s="684" t="str">
        <f>IF(obp!F190="","",obp!F190+1)</f>
        <v/>
      </c>
      <c r="G232" s="710" t="str">
        <f>IF(obp!G190="","",obp!G190)</f>
        <v/>
      </c>
      <c r="H232" s="684" t="str">
        <f>IF(obp!H190=0,"",obp!H190)</f>
        <v/>
      </c>
      <c r="I232" s="389" t="str">
        <f>IF(J232="","",(IF(obp!I190+1&gt;LOOKUP(H232,schaal2019,regels2019),obp!I190,obp!I190+1)))</f>
        <v/>
      </c>
      <c r="J232" s="711" t="str">
        <f>IF(obp!J190="","",obp!J190)</f>
        <v/>
      </c>
      <c r="K232" s="370"/>
      <c r="L232" s="1049">
        <f>IF(obp!L190="","",obp!L190)</f>
        <v>0</v>
      </c>
      <c r="M232" s="1049">
        <f>IF(obp!M190="","",obp!M190)</f>
        <v>0</v>
      </c>
      <c r="N232" s="1051" t="str">
        <f t="shared" si="93"/>
        <v/>
      </c>
      <c r="O232" s="1051"/>
      <c r="P232" s="1125" t="str">
        <f t="shared" si="94"/>
        <v/>
      </c>
      <c r="Q232" s="472"/>
      <c r="R232" s="923" t="str">
        <f t="shared" si="105"/>
        <v/>
      </c>
      <c r="S232" s="923" t="str">
        <f t="shared" si="95"/>
        <v/>
      </c>
      <c r="T232" s="925" t="str">
        <f t="shared" si="96"/>
        <v/>
      </c>
      <c r="U232" s="545"/>
      <c r="V232" s="1103"/>
      <c r="W232" s="1103"/>
      <c r="X232" s="1060"/>
      <c r="Y232" s="1095" t="e">
        <f t="shared" si="97"/>
        <v>#VALUE!</v>
      </c>
      <c r="Z232" s="1094">
        <f>tab!B$50</f>
        <v>0.6</v>
      </c>
      <c r="AA232" s="1126" t="e">
        <f t="shared" si="98"/>
        <v>#VALUE!</v>
      </c>
      <c r="AB232" s="1126" t="e">
        <f t="shared" si="99"/>
        <v>#VALUE!</v>
      </c>
      <c r="AC232" s="1126" t="e">
        <f t="shared" si="100"/>
        <v>#VALUE!</v>
      </c>
      <c r="AD232" s="1128" t="e">
        <f t="shared" si="101"/>
        <v>#VALUE!</v>
      </c>
      <c r="AE232" s="1128">
        <f t="shared" si="102"/>
        <v>0</v>
      </c>
      <c r="AF232" s="1096">
        <f>IF(H232&gt;8,tab!$B$51,tab!$B$54)</f>
        <v>0.5</v>
      </c>
      <c r="AG232" s="1097">
        <f t="shared" si="103"/>
        <v>0</v>
      </c>
      <c r="AH232" s="1093">
        <f t="shared" si="104"/>
        <v>0</v>
      </c>
      <c r="AK232" s="176"/>
    </row>
    <row r="233" spans="2:42" ht="12.75" customHeight="1" x14ac:dyDescent="0.3">
      <c r="C233" s="114"/>
      <c r="D233" s="353" t="str">
        <f>IF(obp!D191=0,"",obp!D191)</f>
        <v/>
      </c>
      <c r="E233" s="388" t="str">
        <f>IF(obp!E191=0,"-",obp!E191)</f>
        <v/>
      </c>
      <c r="F233" s="684" t="str">
        <f>IF(obp!F191="","",obp!F191+1)</f>
        <v/>
      </c>
      <c r="G233" s="710" t="str">
        <f>IF(obp!G191="","",obp!G191)</f>
        <v/>
      </c>
      <c r="H233" s="684" t="str">
        <f>IF(obp!H191=0,"",obp!H191)</f>
        <v/>
      </c>
      <c r="I233" s="389" t="str">
        <f>IF(J233="","",(IF(obp!I191+1&gt;LOOKUP(H233,schaal2019,regels2019),obp!I191,obp!I191+1)))</f>
        <v/>
      </c>
      <c r="J233" s="711" t="str">
        <f>IF(obp!J191="","",obp!J191)</f>
        <v/>
      </c>
      <c r="K233" s="370"/>
      <c r="L233" s="1049">
        <f>IF(obp!L191="","",obp!L191)</f>
        <v>0</v>
      </c>
      <c r="M233" s="1049">
        <f>IF(obp!M191="","",obp!M191)</f>
        <v>0</v>
      </c>
      <c r="N233" s="1051" t="str">
        <f t="shared" si="93"/>
        <v/>
      </c>
      <c r="O233" s="1051"/>
      <c r="P233" s="1125" t="str">
        <f t="shared" si="94"/>
        <v/>
      </c>
      <c r="Q233" s="472"/>
      <c r="R233" s="923" t="str">
        <f t="shared" si="105"/>
        <v/>
      </c>
      <c r="S233" s="923" t="str">
        <f t="shared" si="95"/>
        <v/>
      </c>
      <c r="T233" s="925" t="str">
        <f t="shared" si="96"/>
        <v/>
      </c>
      <c r="U233" s="545"/>
      <c r="V233" s="1103"/>
      <c r="W233" s="1103"/>
      <c r="X233" s="1060"/>
      <c r="Y233" s="1095" t="e">
        <f t="shared" si="97"/>
        <v>#VALUE!</v>
      </c>
      <c r="Z233" s="1094">
        <f>tab!B$50</f>
        <v>0.6</v>
      </c>
      <c r="AA233" s="1126" t="e">
        <f t="shared" si="98"/>
        <v>#VALUE!</v>
      </c>
      <c r="AB233" s="1126" t="e">
        <f t="shared" si="99"/>
        <v>#VALUE!</v>
      </c>
      <c r="AC233" s="1126" t="e">
        <f t="shared" si="100"/>
        <v>#VALUE!</v>
      </c>
      <c r="AD233" s="1128" t="e">
        <f t="shared" si="101"/>
        <v>#VALUE!</v>
      </c>
      <c r="AE233" s="1128">
        <f t="shared" si="102"/>
        <v>0</v>
      </c>
      <c r="AF233" s="1096">
        <f>IF(H233&gt;8,tab!$B$51,tab!$B$54)</f>
        <v>0.5</v>
      </c>
      <c r="AG233" s="1097">
        <f t="shared" si="103"/>
        <v>0</v>
      </c>
      <c r="AH233" s="1093">
        <f t="shared" si="104"/>
        <v>0</v>
      </c>
      <c r="AK233" s="176"/>
    </row>
    <row r="234" spans="2:42" ht="12.75" customHeight="1" x14ac:dyDescent="0.3">
      <c r="C234" s="114"/>
      <c r="D234" s="353" t="str">
        <f>IF(obp!D192=0,"",obp!D192)</f>
        <v/>
      </c>
      <c r="E234" s="388" t="str">
        <f>IF(obp!E192=0,"-",obp!E192)</f>
        <v/>
      </c>
      <c r="F234" s="684" t="str">
        <f>IF(obp!F192="","",obp!F192+1)</f>
        <v/>
      </c>
      <c r="G234" s="710" t="str">
        <f>IF(obp!G192="","",obp!G192)</f>
        <v/>
      </c>
      <c r="H234" s="684" t="str">
        <f>IF(obp!H192=0,"",obp!H192)</f>
        <v/>
      </c>
      <c r="I234" s="389" t="str">
        <f>IF(J234="","",(IF(obp!I192+1&gt;LOOKUP(H234,schaal2019,regels2019),obp!I192,obp!I192+1)))</f>
        <v/>
      </c>
      <c r="J234" s="711" t="str">
        <f>IF(obp!J192="","",obp!J192)</f>
        <v/>
      </c>
      <c r="K234" s="370"/>
      <c r="L234" s="1049">
        <f>IF(obp!L192="","",obp!L192)</f>
        <v>0</v>
      </c>
      <c r="M234" s="1049">
        <f>IF(obp!M192="","",obp!M192)</f>
        <v>0</v>
      </c>
      <c r="N234" s="1051" t="str">
        <f t="shared" si="93"/>
        <v/>
      </c>
      <c r="O234" s="1051"/>
      <c r="P234" s="1125" t="str">
        <f t="shared" si="94"/>
        <v/>
      </c>
      <c r="Q234" s="472"/>
      <c r="R234" s="923" t="str">
        <f t="shared" si="105"/>
        <v/>
      </c>
      <c r="S234" s="923" t="str">
        <f t="shared" si="95"/>
        <v/>
      </c>
      <c r="T234" s="925" t="str">
        <f t="shared" si="96"/>
        <v/>
      </c>
      <c r="U234" s="545"/>
      <c r="V234" s="1103"/>
      <c r="W234" s="1103"/>
      <c r="X234" s="1060"/>
      <c r="Y234" s="1095" t="e">
        <f t="shared" si="97"/>
        <v>#VALUE!</v>
      </c>
      <c r="Z234" s="1094">
        <f>tab!B$50</f>
        <v>0.6</v>
      </c>
      <c r="AA234" s="1126" t="e">
        <f t="shared" si="98"/>
        <v>#VALUE!</v>
      </c>
      <c r="AB234" s="1126" t="e">
        <f t="shared" si="99"/>
        <v>#VALUE!</v>
      </c>
      <c r="AC234" s="1126" t="e">
        <f t="shared" si="100"/>
        <v>#VALUE!</v>
      </c>
      <c r="AD234" s="1128" t="e">
        <f t="shared" si="101"/>
        <v>#VALUE!</v>
      </c>
      <c r="AE234" s="1128">
        <f t="shared" si="102"/>
        <v>0</v>
      </c>
      <c r="AF234" s="1096">
        <f>IF(H234&gt;8,tab!$B$51,tab!$B$54)</f>
        <v>0.5</v>
      </c>
      <c r="AG234" s="1097">
        <f t="shared" si="103"/>
        <v>0</v>
      </c>
      <c r="AH234" s="1093">
        <f t="shared" si="104"/>
        <v>0</v>
      </c>
      <c r="AK234" s="176"/>
    </row>
    <row r="235" spans="2:42" ht="12.75" customHeight="1" x14ac:dyDescent="0.3">
      <c r="C235" s="114"/>
      <c r="D235" s="353" t="str">
        <f>IF(obp!D193=0,"",obp!D193)</f>
        <v/>
      </c>
      <c r="E235" s="388" t="str">
        <f>IF(obp!E193=0,"-",obp!E193)</f>
        <v/>
      </c>
      <c r="F235" s="684" t="str">
        <f>IF(obp!F193="","",obp!F193+1)</f>
        <v/>
      </c>
      <c r="G235" s="710" t="str">
        <f>IF(obp!G193="","",obp!G193)</f>
        <v/>
      </c>
      <c r="H235" s="684" t="str">
        <f>IF(obp!H193=0,"",obp!H193)</f>
        <v/>
      </c>
      <c r="I235" s="389" t="str">
        <f>IF(J235="","",(IF(obp!I193+1&gt;LOOKUP(H235,schaal2019,regels2019),obp!I193,obp!I193+1)))</f>
        <v/>
      </c>
      <c r="J235" s="711" t="str">
        <f>IF(obp!J193="","",obp!J193)</f>
        <v/>
      </c>
      <c r="K235" s="370"/>
      <c r="L235" s="1049">
        <f>IF(obp!L193="","",obp!L193)</f>
        <v>0</v>
      </c>
      <c r="M235" s="1049">
        <f>IF(obp!M193="","",obp!M193)</f>
        <v>0</v>
      </c>
      <c r="N235" s="1051" t="str">
        <f t="shared" si="93"/>
        <v/>
      </c>
      <c r="O235" s="1051"/>
      <c r="P235" s="1125" t="str">
        <f t="shared" si="94"/>
        <v/>
      </c>
      <c r="Q235" s="472"/>
      <c r="R235" s="923" t="str">
        <f t="shared" si="105"/>
        <v/>
      </c>
      <c r="S235" s="923" t="str">
        <f t="shared" si="95"/>
        <v/>
      </c>
      <c r="T235" s="925" t="str">
        <f t="shared" si="96"/>
        <v/>
      </c>
      <c r="U235" s="545"/>
      <c r="V235" s="1103"/>
      <c r="W235" s="1103"/>
      <c r="X235" s="1060"/>
      <c r="Y235" s="1095" t="e">
        <f t="shared" si="97"/>
        <v>#VALUE!</v>
      </c>
      <c r="Z235" s="1094">
        <f>tab!B$50</f>
        <v>0.6</v>
      </c>
      <c r="AA235" s="1126" t="e">
        <f t="shared" si="98"/>
        <v>#VALUE!</v>
      </c>
      <c r="AB235" s="1126" t="e">
        <f t="shared" si="99"/>
        <v>#VALUE!</v>
      </c>
      <c r="AC235" s="1126" t="e">
        <f t="shared" si="100"/>
        <v>#VALUE!</v>
      </c>
      <c r="AD235" s="1128" t="e">
        <f t="shared" si="101"/>
        <v>#VALUE!</v>
      </c>
      <c r="AE235" s="1128">
        <f t="shared" si="102"/>
        <v>0</v>
      </c>
      <c r="AF235" s="1096">
        <f>IF(H235&gt;8,tab!$B$51,tab!$B$54)</f>
        <v>0.5</v>
      </c>
      <c r="AG235" s="1097">
        <f t="shared" si="103"/>
        <v>0</v>
      </c>
      <c r="AH235" s="1093">
        <f t="shared" si="104"/>
        <v>0</v>
      </c>
      <c r="AK235" s="176"/>
    </row>
    <row r="236" spans="2:42" ht="12.75" customHeight="1" x14ac:dyDescent="0.3">
      <c r="C236" s="114"/>
      <c r="D236" s="353" t="str">
        <f>IF(obp!D194=0,"",obp!D194)</f>
        <v/>
      </c>
      <c r="E236" s="388" t="str">
        <f>IF(obp!E194=0,"-",obp!E194)</f>
        <v/>
      </c>
      <c r="F236" s="684" t="str">
        <f>IF(obp!F194="","",obp!F194+1)</f>
        <v/>
      </c>
      <c r="G236" s="710" t="str">
        <f>IF(obp!G194="","",obp!G194)</f>
        <v/>
      </c>
      <c r="H236" s="684" t="str">
        <f>IF(obp!H194=0,"",obp!H194)</f>
        <v/>
      </c>
      <c r="I236" s="389" t="str">
        <f>IF(J236="","",(IF(obp!I194+1&gt;LOOKUP(H236,schaal2019,regels2019),obp!I194,obp!I194+1)))</f>
        <v/>
      </c>
      <c r="J236" s="711" t="str">
        <f>IF(obp!J194="","",obp!J194)</f>
        <v/>
      </c>
      <c r="K236" s="370"/>
      <c r="L236" s="1049">
        <f>IF(obp!L194="","",obp!L194)</f>
        <v>0</v>
      </c>
      <c r="M236" s="1049">
        <f>IF(obp!M194="","",obp!M194)</f>
        <v>0</v>
      </c>
      <c r="N236" s="1051" t="str">
        <f t="shared" si="93"/>
        <v/>
      </c>
      <c r="O236" s="1051"/>
      <c r="P236" s="1125" t="str">
        <f t="shared" si="94"/>
        <v/>
      </c>
      <c r="Q236" s="472"/>
      <c r="R236" s="923" t="str">
        <f t="shared" si="105"/>
        <v/>
      </c>
      <c r="S236" s="923" t="str">
        <f t="shared" si="95"/>
        <v/>
      </c>
      <c r="T236" s="925" t="str">
        <f t="shared" si="96"/>
        <v/>
      </c>
      <c r="U236" s="545"/>
      <c r="V236" s="1103"/>
      <c r="W236" s="1103"/>
      <c r="X236" s="1060"/>
      <c r="Y236" s="1095" t="e">
        <f t="shared" si="97"/>
        <v>#VALUE!</v>
      </c>
      <c r="Z236" s="1094">
        <f>tab!B$50</f>
        <v>0.6</v>
      </c>
      <c r="AA236" s="1126" t="e">
        <f t="shared" si="98"/>
        <v>#VALUE!</v>
      </c>
      <c r="AB236" s="1126" t="e">
        <f t="shared" si="99"/>
        <v>#VALUE!</v>
      </c>
      <c r="AC236" s="1126" t="e">
        <f t="shared" si="100"/>
        <v>#VALUE!</v>
      </c>
      <c r="AD236" s="1128" t="e">
        <f t="shared" si="101"/>
        <v>#VALUE!</v>
      </c>
      <c r="AE236" s="1128">
        <f t="shared" si="102"/>
        <v>0</v>
      </c>
      <c r="AF236" s="1096">
        <f>IF(H236&gt;8,tab!$B$51,tab!$B$54)</f>
        <v>0.5</v>
      </c>
      <c r="AG236" s="1097">
        <f t="shared" si="103"/>
        <v>0</v>
      </c>
      <c r="AH236" s="1093">
        <f t="shared" si="104"/>
        <v>0</v>
      </c>
      <c r="AK236" s="176"/>
    </row>
    <row r="237" spans="2:42" ht="12.75" customHeight="1" x14ac:dyDescent="0.3">
      <c r="C237" s="114"/>
      <c r="D237" s="353" t="str">
        <f>IF(obp!D195=0,"",obp!D195)</f>
        <v/>
      </c>
      <c r="E237" s="388" t="str">
        <f>IF(obp!E195=0,"-",obp!E195)</f>
        <v/>
      </c>
      <c r="F237" s="684" t="str">
        <f>IF(obp!F195="","",obp!F195+1)</f>
        <v/>
      </c>
      <c r="G237" s="710" t="str">
        <f>IF(obp!G195="","",obp!G195)</f>
        <v/>
      </c>
      <c r="H237" s="684" t="str">
        <f>IF(obp!H195=0,"",obp!H195)</f>
        <v/>
      </c>
      <c r="I237" s="389" t="str">
        <f>IF(J237="","",(IF(obp!I195+1&gt;LOOKUP(H237,schaal2019,regels2019),obp!I195,obp!I195+1)))</f>
        <v/>
      </c>
      <c r="J237" s="711" t="str">
        <f>IF(obp!J195="","",obp!J195)</f>
        <v/>
      </c>
      <c r="K237" s="370"/>
      <c r="L237" s="1049">
        <f>IF(obp!L195="","",obp!L195)</f>
        <v>0</v>
      </c>
      <c r="M237" s="1049">
        <f>IF(obp!M195="","",obp!M195)</f>
        <v>0</v>
      </c>
      <c r="N237" s="1051" t="str">
        <f t="shared" si="93"/>
        <v/>
      </c>
      <c r="O237" s="1051"/>
      <c r="P237" s="1125" t="str">
        <f t="shared" si="94"/>
        <v/>
      </c>
      <c r="Q237" s="472"/>
      <c r="R237" s="923" t="str">
        <f t="shared" si="105"/>
        <v/>
      </c>
      <c r="S237" s="923" t="str">
        <f t="shared" si="95"/>
        <v/>
      </c>
      <c r="T237" s="925" t="str">
        <f t="shared" si="96"/>
        <v/>
      </c>
      <c r="U237" s="545"/>
      <c r="V237" s="1103"/>
      <c r="W237" s="1103"/>
      <c r="X237" s="1060"/>
      <c r="Y237" s="1095" t="e">
        <f t="shared" si="97"/>
        <v>#VALUE!</v>
      </c>
      <c r="Z237" s="1094">
        <f>tab!B$50</f>
        <v>0.6</v>
      </c>
      <c r="AA237" s="1126" t="e">
        <f t="shared" si="98"/>
        <v>#VALUE!</v>
      </c>
      <c r="AB237" s="1126" t="e">
        <f t="shared" si="99"/>
        <v>#VALUE!</v>
      </c>
      <c r="AC237" s="1126" t="e">
        <f t="shared" si="100"/>
        <v>#VALUE!</v>
      </c>
      <c r="AD237" s="1128" t="e">
        <f t="shared" si="101"/>
        <v>#VALUE!</v>
      </c>
      <c r="AE237" s="1128">
        <f t="shared" si="102"/>
        <v>0</v>
      </c>
      <c r="AF237" s="1096">
        <f>IF(H237&gt;8,tab!$B$51,tab!$B$54)</f>
        <v>0.5</v>
      </c>
      <c r="AG237" s="1097">
        <f t="shared" si="103"/>
        <v>0</v>
      </c>
      <c r="AH237" s="1093">
        <f t="shared" si="104"/>
        <v>0</v>
      </c>
      <c r="AK237" s="176"/>
    </row>
    <row r="238" spans="2:42" ht="12.75" customHeight="1" x14ac:dyDescent="0.3">
      <c r="C238" s="114"/>
      <c r="D238" s="353" t="str">
        <f>IF(obp!D196=0,"",obp!D196)</f>
        <v/>
      </c>
      <c r="E238" s="388" t="str">
        <f>IF(obp!E196=0,"-",obp!E196)</f>
        <v/>
      </c>
      <c r="F238" s="684" t="str">
        <f>IF(obp!F196="","",obp!F196+1)</f>
        <v/>
      </c>
      <c r="G238" s="710" t="str">
        <f>IF(obp!G196="","",obp!G196)</f>
        <v/>
      </c>
      <c r="H238" s="684" t="str">
        <f>IF(obp!H196=0,"",obp!H196)</f>
        <v/>
      </c>
      <c r="I238" s="389" t="str">
        <f>IF(J238="","",(IF(obp!I196+1&gt;LOOKUP(H238,schaal2019,regels2019),obp!I196,obp!I196+1)))</f>
        <v/>
      </c>
      <c r="J238" s="711" t="str">
        <f>IF(obp!J196="","",obp!J196)</f>
        <v/>
      </c>
      <c r="K238" s="370"/>
      <c r="L238" s="1049">
        <f>IF(obp!L196="","",obp!L196)</f>
        <v>0</v>
      </c>
      <c r="M238" s="1049">
        <f>IF(obp!M196="","",obp!M196)</f>
        <v>0</v>
      </c>
      <c r="N238" s="1051" t="str">
        <f t="shared" si="93"/>
        <v/>
      </c>
      <c r="O238" s="1051"/>
      <c r="P238" s="1125" t="str">
        <f t="shared" si="94"/>
        <v/>
      </c>
      <c r="Q238" s="472"/>
      <c r="R238" s="923" t="str">
        <f t="shared" si="105"/>
        <v/>
      </c>
      <c r="S238" s="923" t="str">
        <f t="shared" si="95"/>
        <v/>
      </c>
      <c r="T238" s="925" t="str">
        <f t="shared" si="96"/>
        <v/>
      </c>
      <c r="U238" s="545"/>
      <c r="V238" s="1103"/>
      <c r="W238" s="1103"/>
      <c r="X238" s="1060"/>
      <c r="Y238" s="1095" t="e">
        <f t="shared" si="97"/>
        <v>#VALUE!</v>
      </c>
      <c r="Z238" s="1094">
        <f>tab!B$50</f>
        <v>0.6</v>
      </c>
      <c r="AA238" s="1126" t="e">
        <f t="shared" si="98"/>
        <v>#VALUE!</v>
      </c>
      <c r="AB238" s="1126" t="e">
        <f t="shared" si="99"/>
        <v>#VALUE!</v>
      </c>
      <c r="AC238" s="1126" t="e">
        <f t="shared" si="100"/>
        <v>#VALUE!</v>
      </c>
      <c r="AD238" s="1128" t="e">
        <f t="shared" si="101"/>
        <v>#VALUE!</v>
      </c>
      <c r="AE238" s="1128">
        <f t="shared" si="102"/>
        <v>0</v>
      </c>
      <c r="AF238" s="1096">
        <f>IF(H238&gt;8,tab!$B$51,tab!$B$54)</f>
        <v>0.5</v>
      </c>
      <c r="AG238" s="1097">
        <f t="shared" si="103"/>
        <v>0</v>
      </c>
      <c r="AH238" s="1093">
        <f t="shared" si="104"/>
        <v>0</v>
      </c>
      <c r="AK238" s="176"/>
    </row>
    <row r="239" spans="2:42" ht="12.75" customHeight="1" x14ac:dyDescent="0.3">
      <c r="C239" s="114"/>
      <c r="D239" s="353" t="str">
        <f>IF(obp!D197=0,"",obp!D197)</f>
        <v/>
      </c>
      <c r="E239" s="388" t="str">
        <f>IF(obp!E197=0,"-",obp!E197)</f>
        <v/>
      </c>
      <c r="F239" s="684" t="str">
        <f>IF(obp!F197="","",obp!F197+1)</f>
        <v/>
      </c>
      <c r="G239" s="710" t="str">
        <f>IF(obp!G197="","",obp!G197)</f>
        <v/>
      </c>
      <c r="H239" s="684" t="str">
        <f>IF(obp!H197=0,"",obp!H197)</f>
        <v/>
      </c>
      <c r="I239" s="389" t="str">
        <f>IF(J239="","",(IF(obp!I197+1&gt;LOOKUP(H239,schaal2019,regels2019),obp!I197,obp!I197+1)))</f>
        <v/>
      </c>
      <c r="J239" s="711" t="str">
        <f>IF(obp!J197="","",obp!J197)</f>
        <v/>
      </c>
      <c r="K239" s="370"/>
      <c r="L239" s="1049">
        <f>IF(obp!L197="","",obp!L197)</f>
        <v>0</v>
      </c>
      <c r="M239" s="1049">
        <f>IF(obp!M197="","",obp!M197)</f>
        <v>0</v>
      </c>
      <c r="N239" s="1051" t="str">
        <f t="shared" si="93"/>
        <v/>
      </c>
      <c r="O239" s="1051"/>
      <c r="P239" s="1125" t="str">
        <f t="shared" si="94"/>
        <v/>
      </c>
      <c r="Q239" s="472"/>
      <c r="R239" s="923" t="str">
        <f t="shared" si="105"/>
        <v/>
      </c>
      <c r="S239" s="923" t="str">
        <f t="shared" si="95"/>
        <v/>
      </c>
      <c r="T239" s="925" t="str">
        <f t="shared" si="96"/>
        <v/>
      </c>
      <c r="U239" s="545"/>
      <c r="V239" s="1103"/>
      <c r="W239" s="1103"/>
      <c r="X239" s="1060"/>
      <c r="Y239" s="1095" t="e">
        <f t="shared" si="97"/>
        <v>#VALUE!</v>
      </c>
      <c r="Z239" s="1094">
        <f>tab!B$50</f>
        <v>0.6</v>
      </c>
      <c r="AA239" s="1126" t="e">
        <f t="shared" si="98"/>
        <v>#VALUE!</v>
      </c>
      <c r="AB239" s="1126" t="e">
        <f t="shared" si="99"/>
        <v>#VALUE!</v>
      </c>
      <c r="AC239" s="1126" t="e">
        <f t="shared" si="100"/>
        <v>#VALUE!</v>
      </c>
      <c r="AD239" s="1128" t="e">
        <f t="shared" si="101"/>
        <v>#VALUE!</v>
      </c>
      <c r="AE239" s="1128">
        <f t="shared" si="102"/>
        <v>0</v>
      </c>
      <c r="AF239" s="1096">
        <f>IF(H239&gt;8,tab!$B$51,tab!$B$54)</f>
        <v>0.5</v>
      </c>
      <c r="AG239" s="1097">
        <f t="shared" si="103"/>
        <v>0</v>
      </c>
      <c r="AH239" s="1093">
        <f t="shared" si="104"/>
        <v>0</v>
      </c>
      <c r="AK239" s="176"/>
    </row>
    <row r="240" spans="2:42" ht="12.75" customHeight="1" x14ac:dyDescent="0.3">
      <c r="C240" s="114"/>
      <c r="D240" s="353" t="str">
        <f>IF(obp!D198=0,"",obp!D198)</f>
        <v/>
      </c>
      <c r="E240" s="388" t="str">
        <f>IF(obp!E198=0,"-",obp!E198)</f>
        <v/>
      </c>
      <c r="F240" s="684" t="str">
        <f>IF(obp!F198="","",obp!F198+1)</f>
        <v/>
      </c>
      <c r="G240" s="710" t="str">
        <f>IF(obp!G198="","",obp!G198)</f>
        <v/>
      </c>
      <c r="H240" s="684" t="str">
        <f>IF(obp!H198=0,"",obp!H198)</f>
        <v/>
      </c>
      <c r="I240" s="389" t="str">
        <f>IF(J240="","",(IF(obp!I198+1&gt;LOOKUP(H240,schaal2019,regels2019),obp!I198,obp!I198+1)))</f>
        <v/>
      </c>
      <c r="J240" s="711" t="str">
        <f>IF(obp!J198="","",obp!J198)</f>
        <v/>
      </c>
      <c r="K240" s="370"/>
      <c r="L240" s="1049">
        <f>IF(obp!L198="","",obp!L198)</f>
        <v>0</v>
      </c>
      <c r="M240" s="1049">
        <f>IF(obp!M198="","",obp!M198)</f>
        <v>0</v>
      </c>
      <c r="N240" s="1051" t="str">
        <f t="shared" si="93"/>
        <v/>
      </c>
      <c r="O240" s="1051"/>
      <c r="P240" s="1125" t="str">
        <f t="shared" si="94"/>
        <v/>
      </c>
      <c r="Q240" s="472"/>
      <c r="R240" s="923" t="str">
        <f t="shared" si="105"/>
        <v/>
      </c>
      <c r="S240" s="923" t="str">
        <f t="shared" si="95"/>
        <v/>
      </c>
      <c r="T240" s="925" t="str">
        <f t="shared" si="96"/>
        <v/>
      </c>
      <c r="U240" s="545"/>
      <c r="V240" s="1103"/>
      <c r="W240" s="1103"/>
      <c r="X240" s="1060"/>
      <c r="Y240" s="1095" t="e">
        <f t="shared" si="97"/>
        <v>#VALUE!</v>
      </c>
      <c r="Z240" s="1094">
        <f>tab!B$50</f>
        <v>0.6</v>
      </c>
      <c r="AA240" s="1126" t="e">
        <f t="shared" si="98"/>
        <v>#VALUE!</v>
      </c>
      <c r="AB240" s="1126" t="e">
        <f t="shared" si="99"/>
        <v>#VALUE!</v>
      </c>
      <c r="AC240" s="1126" t="e">
        <f t="shared" si="100"/>
        <v>#VALUE!</v>
      </c>
      <c r="AD240" s="1128" t="e">
        <f t="shared" si="101"/>
        <v>#VALUE!</v>
      </c>
      <c r="AE240" s="1128">
        <f t="shared" si="102"/>
        <v>0</v>
      </c>
      <c r="AF240" s="1096">
        <f>IF(H240&gt;8,tab!$B$51,tab!$B$54)</f>
        <v>0.5</v>
      </c>
      <c r="AG240" s="1097">
        <f t="shared" si="103"/>
        <v>0</v>
      </c>
      <c r="AH240" s="1093">
        <f t="shared" si="104"/>
        <v>0</v>
      </c>
      <c r="AK240" s="176"/>
    </row>
    <row r="241" spans="3:37" ht="12.75" customHeight="1" x14ac:dyDescent="0.3">
      <c r="C241" s="114"/>
      <c r="D241" s="353" t="str">
        <f>IF(obp!D199=0,"",obp!D199)</f>
        <v/>
      </c>
      <c r="E241" s="388" t="str">
        <f>IF(obp!E199=0,"-",obp!E199)</f>
        <v/>
      </c>
      <c r="F241" s="684" t="str">
        <f>IF(obp!F199="","",obp!F199+1)</f>
        <v/>
      </c>
      <c r="G241" s="710" t="str">
        <f>IF(obp!G199="","",obp!G199)</f>
        <v/>
      </c>
      <c r="H241" s="684" t="str">
        <f>IF(obp!H199=0,"",obp!H199)</f>
        <v/>
      </c>
      <c r="I241" s="389" t="str">
        <f>IF(J241="","",(IF(obp!I199+1&gt;LOOKUP(H241,schaal2019,regels2019),obp!I199,obp!I199+1)))</f>
        <v/>
      </c>
      <c r="J241" s="711" t="str">
        <f>IF(obp!J199="","",obp!J199)</f>
        <v/>
      </c>
      <c r="K241" s="370"/>
      <c r="L241" s="1049">
        <f>IF(obp!L199="","",obp!L199)</f>
        <v>0</v>
      </c>
      <c r="M241" s="1049">
        <f>IF(obp!M199="","",obp!M199)</f>
        <v>0</v>
      </c>
      <c r="N241" s="1051" t="str">
        <f t="shared" si="93"/>
        <v/>
      </c>
      <c r="O241" s="1051"/>
      <c r="P241" s="1125" t="str">
        <f t="shared" si="94"/>
        <v/>
      </c>
      <c r="Q241" s="472"/>
      <c r="R241" s="923" t="str">
        <f t="shared" si="105"/>
        <v/>
      </c>
      <c r="S241" s="923" t="str">
        <f t="shared" si="95"/>
        <v/>
      </c>
      <c r="T241" s="925" t="str">
        <f t="shared" si="96"/>
        <v/>
      </c>
      <c r="U241" s="545"/>
      <c r="V241" s="1103"/>
      <c r="W241" s="1103"/>
      <c r="X241" s="1060"/>
      <c r="Y241" s="1095" t="e">
        <f t="shared" si="97"/>
        <v>#VALUE!</v>
      </c>
      <c r="Z241" s="1094">
        <f>tab!B$50</f>
        <v>0.6</v>
      </c>
      <c r="AA241" s="1126" t="e">
        <f t="shared" si="98"/>
        <v>#VALUE!</v>
      </c>
      <c r="AB241" s="1126" t="e">
        <f t="shared" si="99"/>
        <v>#VALUE!</v>
      </c>
      <c r="AC241" s="1126" t="e">
        <f t="shared" si="100"/>
        <v>#VALUE!</v>
      </c>
      <c r="AD241" s="1128" t="e">
        <f t="shared" si="101"/>
        <v>#VALUE!</v>
      </c>
      <c r="AE241" s="1128">
        <f t="shared" si="102"/>
        <v>0</v>
      </c>
      <c r="AF241" s="1096">
        <f>IF(H241&gt;8,tab!$B$51,tab!$B$54)</f>
        <v>0.5</v>
      </c>
      <c r="AG241" s="1097">
        <f t="shared" si="103"/>
        <v>0</v>
      </c>
      <c r="AH241" s="1093">
        <f t="shared" si="104"/>
        <v>0</v>
      </c>
      <c r="AK241" s="176"/>
    </row>
    <row r="242" spans="3:37" ht="12.75" customHeight="1" x14ac:dyDescent="0.3">
      <c r="C242" s="114"/>
      <c r="D242" s="353" t="str">
        <f>IF(obp!D200=0,"",obp!D200)</f>
        <v/>
      </c>
      <c r="E242" s="388" t="str">
        <f>IF(obp!E200=0,"-",obp!E200)</f>
        <v/>
      </c>
      <c r="F242" s="684" t="str">
        <f>IF(obp!F200="","",obp!F200+1)</f>
        <v/>
      </c>
      <c r="G242" s="710" t="str">
        <f>IF(obp!G200="","",obp!G200)</f>
        <v/>
      </c>
      <c r="H242" s="684" t="str">
        <f>IF(obp!H200=0,"",obp!H200)</f>
        <v/>
      </c>
      <c r="I242" s="389" t="str">
        <f>IF(J242="","",(IF(obp!I200+1&gt;LOOKUP(H242,schaal2019,regels2019),obp!I200,obp!I200+1)))</f>
        <v/>
      </c>
      <c r="J242" s="711" t="str">
        <f>IF(obp!J200="","",obp!J200)</f>
        <v/>
      </c>
      <c r="K242" s="370"/>
      <c r="L242" s="1049">
        <f>IF(obp!L200="","",obp!L200)</f>
        <v>0</v>
      </c>
      <c r="M242" s="1049">
        <f>IF(obp!M200="","",obp!M200)</f>
        <v>0</v>
      </c>
      <c r="N242" s="1051" t="str">
        <f t="shared" si="93"/>
        <v/>
      </c>
      <c r="O242" s="1051"/>
      <c r="P242" s="1125" t="str">
        <f t="shared" si="94"/>
        <v/>
      </c>
      <c r="Q242" s="472"/>
      <c r="R242" s="923" t="str">
        <f t="shared" si="105"/>
        <v/>
      </c>
      <c r="S242" s="923" t="str">
        <f t="shared" si="95"/>
        <v/>
      </c>
      <c r="T242" s="925" t="str">
        <f t="shared" si="96"/>
        <v/>
      </c>
      <c r="U242" s="545"/>
      <c r="V242" s="1103"/>
      <c r="W242" s="1103"/>
      <c r="X242" s="1060"/>
      <c r="Y242" s="1095" t="e">
        <f t="shared" si="97"/>
        <v>#VALUE!</v>
      </c>
      <c r="Z242" s="1094">
        <f>tab!B$50</f>
        <v>0.6</v>
      </c>
      <c r="AA242" s="1126" t="e">
        <f t="shared" si="98"/>
        <v>#VALUE!</v>
      </c>
      <c r="AB242" s="1126" t="e">
        <f t="shared" si="99"/>
        <v>#VALUE!</v>
      </c>
      <c r="AC242" s="1126" t="e">
        <f t="shared" si="100"/>
        <v>#VALUE!</v>
      </c>
      <c r="AD242" s="1128" t="e">
        <f t="shared" si="101"/>
        <v>#VALUE!</v>
      </c>
      <c r="AE242" s="1128">
        <f t="shared" si="102"/>
        <v>0</v>
      </c>
      <c r="AF242" s="1096">
        <f>IF(H242&gt;8,tab!$B$51,tab!$B$54)</f>
        <v>0.5</v>
      </c>
      <c r="AG242" s="1097">
        <f t="shared" si="103"/>
        <v>0</v>
      </c>
      <c r="AH242" s="1093">
        <f t="shared" si="104"/>
        <v>0</v>
      </c>
      <c r="AK242" s="176"/>
    </row>
    <row r="243" spans="3:37" ht="12.75" customHeight="1" x14ac:dyDescent="0.3">
      <c r="C243" s="114"/>
      <c r="D243" s="353" t="str">
        <f>IF(obp!D201=0,"",obp!D201)</f>
        <v/>
      </c>
      <c r="E243" s="388" t="str">
        <f>IF(obp!E201=0,"-",obp!E201)</f>
        <v/>
      </c>
      <c r="F243" s="684" t="str">
        <f>IF(obp!F201="","",obp!F201+1)</f>
        <v/>
      </c>
      <c r="G243" s="710" t="str">
        <f>IF(obp!G201="","",obp!G201)</f>
        <v/>
      </c>
      <c r="H243" s="684" t="str">
        <f>IF(obp!H201=0,"",obp!H201)</f>
        <v/>
      </c>
      <c r="I243" s="389" t="str">
        <f>IF(J243="","",(IF(obp!I201+1&gt;LOOKUP(H243,schaal2019,regels2019),obp!I201,obp!I201+1)))</f>
        <v/>
      </c>
      <c r="J243" s="711" t="str">
        <f>IF(obp!J201="","",obp!J201)</f>
        <v/>
      </c>
      <c r="K243" s="370"/>
      <c r="L243" s="1049">
        <f>IF(obp!L201="","",obp!L201)</f>
        <v>0</v>
      </c>
      <c r="M243" s="1049">
        <f>IF(obp!M201="","",obp!M201)</f>
        <v>0</v>
      </c>
      <c r="N243" s="1051" t="str">
        <f t="shared" si="93"/>
        <v/>
      </c>
      <c r="O243" s="1051"/>
      <c r="P243" s="1125" t="str">
        <f t="shared" si="94"/>
        <v/>
      </c>
      <c r="Q243" s="472"/>
      <c r="R243" s="923" t="str">
        <f t="shared" si="105"/>
        <v/>
      </c>
      <c r="S243" s="923" t="str">
        <f t="shared" si="95"/>
        <v/>
      </c>
      <c r="T243" s="925" t="str">
        <f t="shared" si="96"/>
        <v/>
      </c>
      <c r="U243" s="545"/>
      <c r="V243" s="1103"/>
      <c r="W243" s="1103"/>
      <c r="X243" s="1060"/>
      <c r="Y243" s="1095" t="e">
        <f t="shared" si="97"/>
        <v>#VALUE!</v>
      </c>
      <c r="Z243" s="1094">
        <f>tab!B$50</f>
        <v>0.6</v>
      </c>
      <c r="AA243" s="1126" t="e">
        <f t="shared" si="98"/>
        <v>#VALUE!</v>
      </c>
      <c r="AB243" s="1126" t="e">
        <f t="shared" si="99"/>
        <v>#VALUE!</v>
      </c>
      <c r="AC243" s="1126" t="e">
        <f t="shared" si="100"/>
        <v>#VALUE!</v>
      </c>
      <c r="AD243" s="1128" t="e">
        <f t="shared" si="101"/>
        <v>#VALUE!</v>
      </c>
      <c r="AE243" s="1128">
        <f t="shared" si="102"/>
        <v>0</v>
      </c>
      <c r="AF243" s="1096">
        <f>IF(H243&gt;8,tab!$B$51,tab!$B$54)</f>
        <v>0.5</v>
      </c>
      <c r="AG243" s="1097">
        <f t="shared" si="103"/>
        <v>0</v>
      </c>
      <c r="AH243" s="1093">
        <f t="shared" si="104"/>
        <v>0</v>
      </c>
      <c r="AK243" s="176"/>
    </row>
    <row r="244" spans="3:37" ht="12.75" customHeight="1" x14ac:dyDescent="0.3">
      <c r="C244" s="114"/>
      <c r="D244" s="353" t="str">
        <f>IF(obp!D202=0,"",obp!D202)</f>
        <v/>
      </c>
      <c r="E244" s="388" t="str">
        <f>IF(obp!E202=0,"-",obp!E202)</f>
        <v/>
      </c>
      <c r="F244" s="684" t="str">
        <f>IF(obp!F202="","",obp!F202+1)</f>
        <v/>
      </c>
      <c r="G244" s="710" t="str">
        <f>IF(obp!G202="","",obp!G202)</f>
        <v/>
      </c>
      <c r="H244" s="684" t="str">
        <f>IF(obp!H202=0,"",obp!H202)</f>
        <v/>
      </c>
      <c r="I244" s="389" t="str">
        <f>IF(J244="","",(IF(obp!I202+1&gt;LOOKUP(H244,schaal2019,regels2019),obp!I202,obp!I202+1)))</f>
        <v/>
      </c>
      <c r="J244" s="711" t="str">
        <f>IF(obp!J202="","",obp!J202)</f>
        <v/>
      </c>
      <c r="K244" s="370"/>
      <c r="L244" s="1049">
        <f>IF(obp!L202="","",obp!L202)</f>
        <v>0</v>
      </c>
      <c r="M244" s="1049">
        <f>IF(obp!M202="","",obp!M202)</f>
        <v>0</v>
      </c>
      <c r="N244" s="1051" t="str">
        <f t="shared" si="93"/>
        <v/>
      </c>
      <c r="O244" s="1051"/>
      <c r="P244" s="1125" t="str">
        <f t="shared" si="94"/>
        <v/>
      </c>
      <c r="Q244" s="472"/>
      <c r="R244" s="923" t="str">
        <f t="shared" si="105"/>
        <v/>
      </c>
      <c r="S244" s="923" t="str">
        <f t="shared" si="95"/>
        <v/>
      </c>
      <c r="T244" s="925" t="str">
        <f t="shared" si="96"/>
        <v/>
      </c>
      <c r="U244" s="545"/>
      <c r="V244" s="1103"/>
      <c r="W244" s="1103"/>
      <c r="X244" s="1060"/>
      <c r="Y244" s="1095" t="e">
        <f t="shared" si="97"/>
        <v>#VALUE!</v>
      </c>
      <c r="Z244" s="1094">
        <f>tab!B$50</f>
        <v>0.6</v>
      </c>
      <c r="AA244" s="1126" t="e">
        <f t="shared" si="98"/>
        <v>#VALUE!</v>
      </c>
      <c r="AB244" s="1126" t="e">
        <f t="shared" si="99"/>
        <v>#VALUE!</v>
      </c>
      <c r="AC244" s="1126" t="e">
        <f t="shared" si="100"/>
        <v>#VALUE!</v>
      </c>
      <c r="AD244" s="1128" t="e">
        <f t="shared" si="101"/>
        <v>#VALUE!</v>
      </c>
      <c r="AE244" s="1128">
        <f t="shared" si="102"/>
        <v>0</v>
      </c>
      <c r="AF244" s="1096">
        <f>IF(H244&gt;8,tab!$B$51,tab!$B$54)</f>
        <v>0.5</v>
      </c>
      <c r="AG244" s="1097">
        <f t="shared" si="103"/>
        <v>0</v>
      </c>
      <c r="AH244" s="1093">
        <f t="shared" si="104"/>
        <v>0</v>
      </c>
      <c r="AK244" s="176"/>
    </row>
    <row r="245" spans="3:37" ht="12.75" customHeight="1" x14ac:dyDescent="0.3">
      <c r="C245" s="114"/>
      <c r="D245" s="353" t="str">
        <f>IF(obp!D203=0,"",obp!D203)</f>
        <v/>
      </c>
      <c r="E245" s="388" t="str">
        <f>IF(obp!E203=0,"-",obp!E203)</f>
        <v/>
      </c>
      <c r="F245" s="684" t="str">
        <f>IF(obp!F203="","",obp!F203+1)</f>
        <v/>
      </c>
      <c r="G245" s="710" t="str">
        <f>IF(obp!G203="","",obp!G203)</f>
        <v/>
      </c>
      <c r="H245" s="684" t="str">
        <f>IF(obp!H203=0,"",obp!H203)</f>
        <v/>
      </c>
      <c r="I245" s="389" t="str">
        <f>IF(J245="","",(IF(obp!I203+1&gt;LOOKUP(H245,schaal2019,regels2019),obp!I203,obp!I203+1)))</f>
        <v/>
      </c>
      <c r="J245" s="711" t="str">
        <f>IF(obp!J203="","",obp!J203)</f>
        <v/>
      </c>
      <c r="K245" s="370"/>
      <c r="L245" s="1049">
        <f>IF(obp!L203="","",obp!L203)</f>
        <v>0</v>
      </c>
      <c r="M245" s="1049">
        <f>IF(obp!M203="","",obp!M203)</f>
        <v>0</v>
      </c>
      <c r="N245" s="1051" t="str">
        <f t="shared" si="93"/>
        <v/>
      </c>
      <c r="O245" s="1051"/>
      <c r="P245" s="1125" t="str">
        <f t="shared" si="94"/>
        <v/>
      </c>
      <c r="Q245" s="472"/>
      <c r="R245" s="923" t="str">
        <f t="shared" si="105"/>
        <v/>
      </c>
      <c r="S245" s="923" t="str">
        <f t="shared" si="95"/>
        <v/>
      </c>
      <c r="T245" s="925" t="str">
        <f t="shared" si="96"/>
        <v/>
      </c>
      <c r="U245" s="545"/>
      <c r="V245" s="1103"/>
      <c r="W245" s="1103"/>
      <c r="X245" s="1060"/>
      <c r="Y245" s="1095" t="e">
        <f t="shared" si="97"/>
        <v>#VALUE!</v>
      </c>
      <c r="Z245" s="1094">
        <f>tab!B$50</f>
        <v>0.6</v>
      </c>
      <c r="AA245" s="1126" t="e">
        <f t="shared" si="98"/>
        <v>#VALUE!</v>
      </c>
      <c r="AB245" s="1126" t="e">
        <f t="shared" si="99"/>
        <v>#VALUE!</v>
      </c>
      <c r="AC245" s="1126" t="e">
        <f t="shared" si="100"/>
        <v>#VALUE!</v>
      </c>
      <c r="AD245" s="1128" t="e">
        <f t="shared" si="101"/>
        <v>#VALUE!</v>
      </c>
      <c r="AE245" s="1128">
        <f t="shared" si="102"/>
        <v>0</v>
      </c>
      <c r="AF245" s="1096">
        <f>IF(H245&gt;8,tab!$B$51,tab!$B$54)</f>
        <v>0.5</v>
      </c>
      <c r="AG245" s="1097">
        <f t="shared" si="103"/>
        <v>0</v>
      </c>
      <c r="AH245" s="1093">
        <f t="shared" si="104"/>
        <v>0</v>
      </c>
      <c r="AK245" s="176"/>
    </row>
    <row r="246" spans="3:37" ht="12.75" customHeight="1" x14ac:dyDescent="0.3">
      <c r="C246" s="114"/>
      <c r="D246" s="353" t="str">
        <f>IF(obp!D204=0,"",obp!D204)</f>
        <v/>
      </c>
      <c r="E246" s="388" t="str">
        <f>IF(obp!E204=0,"-",obp!E204)</f>
        <v/>
      </c>
      <c r="F246" s="105" t="str">
        <f>IF(obp!F204="","",obp!F204+1)</f>
        <v/>
      </c>
      <c r="G246" s="354" t="str">
        <f>IF(obp!G204="","",obp!G204)</f>
        <v/>
      </c>
      <c r="H246" s="684" t="str">
        <f>IF(obp!H204=0,"",obp!H204)</f>
        <v/>
      </c>
      <c r="I246" s="389" t="str">
        <f>IF(J246="","",(IF(obp!I204+1&gt;LOOKUP(H246,schaal2019,regels2019),obp!I204,obp!I204+1)))</f>
        <v/>
      </c>
      <c r="J246" s="356" t="str">
        <f>IF(obp!J204="","",obp!J204)</f>
        <v/>
      </c>
      <c r="K246" s="370"/>
      <c r="L246" s="1049">
        <f>IF(obp!L204="","",obp!L204)</f>
        <v>0</v>
      </c>
      <c r="M246" s="1049">
        <f>IF(obp!M204="","",obp!M204)</f>
        <v>0</v>
      </c>
      <c r="N246" s="1051" t="str">
        <f t="shared" si="93"/>
        <v/>
      </c>
      <c r="O246" s="1051"/>
      <c r="P246" s="1125" t="str">
        <f t="shared" si="94"/>
        <v/>
      </c>
      <c r="Q246" s="472"/>
      <c r="R246" s="923" t="str">
        <f t="shared" si="105"/>
        <v/>
      </c>
      <c r="S246" s="923" t="str">
        <f t="shared" si="95"/>
        <v/>
      </c>
      <c r="T246" s="925" t="str">
        <f t="shared" si="96"/>
        <v/>
      </c>
      <c r="U246" s="545"/>
      <c r="V246" s="1103"/>
      <c r="W246" s="1103"/>
      <c r="X246" s="1060"/>
      <c r="Y246" s="1095" t="e">
        <f t="shared" si="97"/>
        <v>#VALUE!</v>
      </c>
      <c r="Z246" s="1094">
        <f>tab!B$50</f>
        <v>0.6</v>
      </c>
      <c r="AA246" s="1126" t="e">
        <f t="shared" si="98"/>
        <v>#VALUE!</v>
      </c>
      <c r="AB246" s="1126" t="e">
        <f t="shared" si="99"/>
        <v>#VALUE!</v>
      </c>
      <c r="AC246" s="1126" t="e">
        <f t="shared" si="100"/>
        <v>#VALUE!</v>
      </c>
      <c r="AD246" s="1128" t="e">
        <f t="shared" si="101"/>
        <v>#VALUE!</v>
      </c>
      <c r="AE246" s="1128">
        <f t="shared" si="102"/>
        <v>0</v>
      </c>
      <c r="AF246" s="1096">
        <f>IF(H246&gt;8,tab!$B$51,tab!$B$54)</f>
        <v>0.5</v>
      </c>
      <c r="AG246" s="1097">
        <f t="shared" si="103"/>
        <v>0</v>
      </c>
      <c r="AH246" s="1093">
        <f t="shared" si="104"/>
        <v>0</v>
      </c>
      <c r="AK246" s="176"/>
    </row>
    <row r="247" spans="3:37" ht="12.75" customHeight="1" x14ac:dyDescent="0.3">
      <c r="C247" s="114"/>
      <c r="D247" s="353" t="str">
        <f>IF(obp!D205=0,"",obp!D205)</f>
        <v/>
      </c>
      <c r="E247" s="388" t="str">
        <f>IF(obp!E205=0,"-",obp!E205)</f>
        <v/>
      </c>
      <c r="F247" s="105" t="str">
        <f>IF(obp!F205="","",obp!F205+1)</f>
        <v/>
      </c>
      <c r="G247" s="354" t="str">
        <f>IF(obp!G205="","",obp!G205)</f>
        <v/>
      </c>
      <c r="H247" s="684" t="str">
        <f>IF(obp!H205=0,"",obp!H205)</f>
        <v/>
      </c>
      <c r="I247" s="389" t="str">
        <f>IF(J247="","",(IF(obp!I205+1&gt;LOOKUP(H247,schaal2019,regels2019),obp!I205,obp!I205+1)))</f>
        <v/>
      </c>
      <c r="J247" s="356" t="str">
        <f>IF(obp!J205="","",obp!J205)</f>
        <v/>
      </c>
      <c r="K247" s="370"/>
      <c r="L247" s="1049">
        <f>IF(obp!L205="","",obp!L205)</f>
        <v>0</v>
      </c>
      <c r="M247" s="1049">
        <f>IF(obp!M205="","",obp!M205)</f>
        <v>0</v>
      </c>
      <c r="N247" s="1051" t="str">
        <f t="shared" si="93"/>
        <v/>
      </c>
      <c r="O247" s="1051"/>
      <c r="P247" s="1125" t="str">
        <f t="shared" si="94"/>
        <v/>
      </c>
      <c r="Q247" s="472"/>
      <c r="R247" s="923" t="str">
        <f t="shared" si="105"/>
        <v/>
      </c>
      <c r="S247" s="923" t="str">
        <f t="shared" si="95"/>
        <v/>
      </c>
      <c r="T247" s="925" t="str">
        <f t="shared" si="96"/>
        <v/>
      </c>
      <c r="U247" s="545"/>
      <c r="V247" s="1103"/>
      <c r="W247" s="1103"/>
      <c r="X247" s="1060"/>
      <c r="Y247" s="1095" t="e">
        <f t="shared" si="97"/>
        <v>#VALUE!</v>
      </c>
      <c r="Z247" s="1094">
        <f>tab!B$50</f>
        <v>0.6</v>
      </c>
      <c r="AA247" s="1126" t="e">
        <f t="shared" si="98"/>
        <v>#VALUE!</v>
      </c>
      <c r="AB247" s="1126" t="e">
        <f t="shared" si="99"/>
        <v>#VALUE!</v>
      </c>
      <c r="AC247" s="1126" t="e">
        <f t="shared" si="100"/>
        <v>#VALUE!</v>
      </c>
      <c r="AD247" s="1128" t="e">
        <f t="shared" si="101"/>
        <v>#VALUE!</v>
      </c>
      <c r="AE247" s="1128">
        <f t="shared" si="102"/>
        <v>0</v>
      </c>
      <c r="AF247" s="1096">
        <f>IF(H247&gt;8,tab!$B$51,tab!$B$54)</f>
        <v>0.5</v>
      </c>
      <c r="AG247" s="1097">
        <f t="shared" si="103"/>
        <v>0</v>
      </c>
      <c r="AH247" s="1093">
        <f t="shared" si="104"/>
        <v>0</v>
      </c>
      <c r="AK247" s="176"/>
    </row>
    <row r="248" spans="3:37" ht="12.75" customHeight="1" x14ac:dyDescent="0.3">
      <c r="C248" s="114"/>
      <c r="D248" s="353" t="str">
        <f>IF(obp!D206=0,"",obp!D206)</f>
        <v/>
      </c>
      <c r="E248" s="388" t="str">
        <f>IF(obp!E206=0,"-",obp!E206)</f>
        <v/>
      </c>
      <c r="F248" s="105" t="str">
        <f>IF(obp!F206="","",obp!F206+1)</f>
        <v/>
      </c>
      <c r="G248" s="354" t="str">
        <f>IF(obp!G206="","",obp!G206)</f>
        <v/>
      </c>
      <c r="H248" s="684" t="str">
        <f>IF(obp!H206=0,"",obp!H206)</f>
        <v/>
      </c>
      <c r="I248" s="389" t="str">
        <f>IF(J248="","",(IF(obp!I206+1&gt;LOOKUP(H248,schaal2019,regels2019),obp!I206,obp!I206+1)))</f>
        <v/>
      </c>
      <c r="J248" s="356" t="str">
        <f>IF(obp!J206="","",obp!J206)</f>
        <v/>
      </c>
      <c r="K248" s="370"/>
      <c r="L248" s="1049">
        <f>IF(obp!L206="","",obp!L206)</f>
        <v>0</v>
      </c>
      <c r="M248" s="1049">
        <f>IF(obp!M206="","",obp!M206)</f>
        <v>0</v>
      </c>
      <c r="N248" s="1051" t="str">
        <f t="shared" si="93"/>
        <v/>
      </c>
      <c r="O248" s="1051"/>
      <c r="P248" s="1125" t="str">
        <f t="shared" si="94"/>
        <v/>
      </c>
      <c r="Q248" s="472"/>
      <c r="R248" s="923" t="str">
        <f t="shared" si="105"/>
        <v/>
      </c>
      <c r="S248" s="923" t="str">
        <f t="shared" si="95"/>
        <v/>
      </c>
      <c r="T248" s="925" t="str">
        <f t="shared" si="96"/>
        <v/>
      </c>
      <c r="U248" s="545"/>
      <c r="V248" s="1103"/>
      <c r="W248" s="1103"/>
      <c r="X248" s="1060"/>
      <c r="Y248" s="1095" t="e">
        <f t="shared" si="97"/>
        <v>#VALUE!</v>
      </c>
      <c r="Z248" s="1094">
        <f>tab!B$50</f>
        <v>0.6</v>
      </c>
      <c r="AA248" s="1126" t="e">
        <f t="shared" si="98"/>
        <v>#VALUE!</v>
      </c>
      <c r="AB248" s="1126" t="e">
        <f t="shared" si="99"/>
        <v>#VALUE!</v>
      </c>
      <c r="AC248" s="1126" t="e">
        <f t="shared" si="100"/>
        <v>#VALUE!</v>
      </c>
      <c r="AD248" s="1128" t="e">
        <f t="shared" si="101"/>
        <v>#VALUE!</v>
      </c>
      <c r="AE248" s="1128">
        <f t="shared" si="102"/>
        <v>0</v>
      </c>
      <c r="AF248" s="1096">
        <f>IF(H248&gt;8,tab!$B$51,tab!$B$54)</f>
        <v>0.5</v>
      </c>
      <c r="AG248" s="1097">
        <f t="shared" si="103"/>
        <v>0</v>
      </c>
      <c r="AH248" s="1093">
        <f t="shared" si="104"/>
        <v>0</v>
      </c>
      <c r="AK248" s="176"/>
    </row>
    <row r="249" spans="3:37" ht="12.75" customHeight="1" x14ac:dyDescent="0.3">
      <c r="C249" s="114"/>
      <c r="D249" s="353" t="str">
        <f>IF(obp!D207=0,"",obp!D207)</f>
        <v/>
      </c>
      <c r="E249" s="388" t="str">
        <f>IF(obp!E207=0,"-",obp!E207)</f>
        <v/>
      </c>
      <c r="F249" s="105" t="str">
        <f>IF(obp!F207="","",obp!F207+1)</f>
        <v/>
      </c>
      <c r="G249" s="354" t="str">
        <f>IF(obp!G207="","",obp!G207)</f>
        <v/>
      </c>
      <c r="H249" s="684" t="str">
        <f>IF(obp!H207=0,"",obp!H207)</f>
        <v/>
      </c>
      <c r="I249" s="389" t="str">
        <f>IF(J249="","",(IF(obp!I207+1&gt;LOOKUP(H249,schaal2019,regels2019),obp!I207,obp!I207+1)))</f>
        <v/>
      </c>
      <c r="J249" s="356" t="str">
        <f>IF(obp!J207="","",obp!J207)</f>
        <v/>
      </c>
      <c r="K249" s="370"/>
      <c r="L249" s="1049">
        <f>IF(obp!L207="","",obp!L207)</f>
        <v>0</v>
      </c>
      <c r="M249" s="1049">
        <f>IF(obp!M207="","",obp!M207)</f>
        <v>0</v>
      </c>
      <c r="N249" s="1051" t="str">
        <f t="shared" si="93"/>
        <v/>
      </c>
      <c r="O249" s="1051"/>
      <c r="P249" s="1125" t="str">
        <f t="shared" si="94"/>
        <v/>
      </c>
      <c r="Q249" s="472"/>
      <c r="R249" s="923" t="str">
        <f t="shared" si="105"/>
        <v/>
      </c>
      <c r="S249" s="923" t="str">
        <f t="shared" si="95"/>
        <v/>
      </c>
      <c r="T249" s="925" t="str">
        <f t="shared" si="96"/>
        <v/>
      </c>
      <c r="U249" s="545"/>
      <c r="V249" s="1103"/>
      <c r="W249" s="1103"/>
      <c r="X249" s="1060"/>
      <c r="Y249" s="1095" t="e">
        <f t="shared" si="97"/>
        <v>#VALUE!</v>
      </c>
      <c r="Z249" s="1094">
        <f>tab!B$50</f>
        <v>0.6</v>
      </c>
      <c r="AA249" s="1126" t="e">
        <f t="shared" si="98"/>
        <v>#VALUE!</v>
      </c>
      <c r="AB249" s="1126" t="e">
        <f t="shared" si="99"/>
        <v>#VALUE!</v>
      </c>
      <c r="AC249" s="1126" t="e">
        <f t="shared" si="100"/>
        <v>#VALUE!</v>
      </c>
      <c r="AD249" s="1128" t="e">
        <f t="shared" si="101"/>
        <v>#VALUE!</v>
      </c>
      <c r="AE249" s="1128">
        <f t="shared" si="102"/>
        <v>0</v>
      </c>
      <c r="AF249" s="1096">
        <f>IF(H249&gt;8,tab!$B$51,tab!$B$54)</f>
        <v>0.5</v>
      </c>
      <c r="AG249" s="1097">
        <f t="shared" si="103"/>
        <v>0</v>
      </c>
      <c r="AH249" s="1093">
        <f t="shared" si="104"/>
        <v>0</v>
      </c>
      <c r="AK249" s="176"/>
    </row>
    <row r="250" spans="3:37" ht="12.75" customHeight="1" x14ac:dyDescent="0.3">
      <c r="C250" s="114"/>
      <c r="D250" s="353" t="str">
        <f>IF(obp!D208=0,"",obp!D208)</f>
        <v/>
      </c>
      <c r="E250" s="388" t="str">
        <f>IF(obp!E208=0,"-",obp!E208)</f>
        <v/>
      </c>
      <c r="F250" s="105" t="str">
        <f>IF(obp!F208="","",obp!F208+1)</f>
        <v/>
      </c>
      <c r="G250" s="354" t="str">
        <f>IF(obp!G208="","",obp!G208)</f>
        <v/>
      </c>
      <c r="H250" s="684" t="str">
        <f>IF(obp!H208=0,"",obp!H208)</f>
        <v/>
      </c>
      <c r="I250" s="389" t="str">
        <f>IF(J250="","",(IF(obp!I208+1&gt;LOOKUP(H250,schaal2019,regels2019),obp!I208,obp!I208+1)))</f>
        <v/>
      </c>
      <c r="J250" s="356" t="str">
        <f>IF(obp!J208="","",obp!J208)</f>
        <v/>
      </c>
      <c r="K250" s="370"/>
      <c r="L250" s="1049">
        <f>IF(obp!L208="","",obp!L208)</f>
        <v>0</v>
      </c>
      <c r="M250" s="1049">
        <f>IF(obp!M208="","",obp!M208)</f>
        <v>0</v>
      </c>
      <c r="N250" s="1051" t="str">
        <f t="shared" si="93"/>
        <v/>
      </c>
      <c r="O250" s="1051"/>
      <c r="P250" s="1125" t="str">
        <f t="shared" si="94"/>
        <v/>
      </c>
      <c r="Q250" s="472"/>
      <c r="R250" s="923" t="str">
        <f t="shared" si="105"/>
        <v/>
      </c>
      <c r="S250" s="923" t="str">
        <f t="shared" si="95"/>
        <v/>
      </c>
      <c r="T250" s="925" t="str">
        <f t="shared" si="96"/>
        <v/>
      </c>
      <c r="U250" s="545"/>
      <c r="V250" s="1103"/>
      <c r="W250" s="1103"/>
      <c r="X250" s="1060"/>
      <c r="Y250" s="1095" t="e">
        <f t="shared" si="97"/>
        <v>#VALUE!</v>
      </c>
      <c r="Z250" s="1094">
        <f>tab!B$50</f>
        <v>0.6</v>
      </c>
      <c r="AA250" s="1126" t="e">
        <f t="shared" si="98"/>
        <v>#VALUE!</v>
      </c>
      <c r="AB250" s="1126" t="e">
        <f t="shared" si="99"/>
        <v>#VALUE!</v>
      </c>
      <c r="AC250" s="1126" t="e">
        <f t="shared" si="100"/>
        <v>#VALUE!</v>
      </c>
      <c r="AD250" s="1128" t="e">
        <f t="shared" si="101"/>
        <v>#VALUE!</v>
      </c>
      <c r="AE250" s="1128">
        <f t="shared" si="102"/>
        <v>0</v>
      </c>
      <c r="AF250" s="1096">
        <f>IF(H250&gt;8,tab!$B$51,tab!$B$54)</f>
        <v>0.5</v>
      </c>
      <c r="AG250" s="1097">
        <f t="shared" si="103"/>
        <v>0</v>
      </c>
      <c r="AH250" s="1093">
        <f t="shared" si="104"/>
        <v>0</v>
      </c>
      <c r="AK250" s="176"/>
    </row>
    <row r="251" spans="3:37" ht="12.75" customHeight="1" x14ac:dyDescent="0.3">
      <c r="C251" s="114"/>
      <c r="D251" s="353" t="str">
        <f>IF(obp!D209=0,"",obp!D209)</f>
        <v/>
      </c>
      <c r="E251" s="388" t="str">
        <f>IF(obp!E209=0,"-",obp!E209)</f>
        <v/>
      </c>
      <c r="F251" s="105" t="str">
        <f>IF(obp!F209="","",obp!F209+1)</f>
        <v/>
      </c>
      <c r="G251" s="354" t="str">
        <f>IF(obp!G209="","",obp!G209)</f>
        <v/>
      </c>
      <c r="H251" s="684" t="str">
        <f>IF(obp!H209=0,"",obp!H209)</f>
        <v/>
      </c>
      <c r="I251" s="389" t="str">
        <f>IF(J251="","",(IF(obp!I209+1&gt;LOOKUP(H251,schaal2019,regels2019),obp!I209,obp!I209+1)))</f>
        <v/>
      </c>
      <c r="J251" s="356" t="str">
        <f>IF(obp!J209="","",obp!J209)</f>
        <v/>
      </c>
      <c r="K251" s="370"/>
      <c r="L251" s="1049">
        <f>IF(obp!L209="","",obp!L209)</f>
        <v>0</v>
      </c>
      <c r="M251" s="1049">
        <f>IF(obp!M209="","",obp!M209)</f>
        <v>0</v>
      </c>
      <c r="N251" s="1051" t="str">
        <f t="shared" si="93"/>
        <v/>
      </c>
      <c r="O251" s="1051"/>
      <c r="P251" s="1125" t="str">
        <f t="shared" si="94"/>
        <v/>
      </c>
      <c r="Q251" s="472"/>
      <c r="R251" s="923" t="str">
        <f t="shared" si="105"/>
        <v/>
      </c>
      <c r="S251" s="923" t="str">
        <f t="shared" si="95"/>
        <v/>
      </c>
      <c r="T251" s="925" t="str">
        <f t="shared" si="96"/>
        <v/>
      </c>
      <c r="U251" s="545"/>
      <c r="V251" s="1103"/>
      <c r="W251" s="1103"/>
      <c r="X251" s="1060"/>
      <c r="Y251" s="1095" t="e">
        <f t="shared" si="97"/>
        <v>#VALUE!</v>
      </c>
      <c r="Z251" s="1094">
        <f>tab!B$50</f>
        <v>0.6</v>
      </c>
      <c r="AA251" s="1126" t="e">
        <f t="shared" si="98"/>
        <v>#VALUE!</v>
      </c>
      <c r="AB251" s="1126" t="e">
        <f t="shared" si="99"/>
        <v>#VALUE!</v>
      </c>
      <c r="AC251" s="1126" t="e">
        <f t="shared" si="100"/>
        <v>#VALUE!</v>
      </c>
      <c r="AD251" s="1128" t="e">
        <f t="shared" si="101"/>
        <v>#VALUE!</v>
      </c>
      <c r="AE251" s="1128">
        <f t="shared" si="102"/>
        <v>0</v>
      </c>
      <c r="AF251" s="1096">
        <f>IF(H251&gt;8,tab!$B$51,tab!$B$54)</f>
        <v>0.5</v>
      </c>
      <c r="AG251" s="1097">
        <f t="shared" si="103"/>
        <v>0</v>
      </c>
      <c r="AH251" s="1093">
        <f t="shared" si="104"/>
        <v>0</v>
      </c>
      <c r="AK251" s="176"/>
    </row>
    <row r="252" spans="3:37" ht="12.75" customHeight="1" x14ac:dyDescent="0.3">
      <c r="C252" s="114"/>
      <c r="D252" s="353" t="str">
        <f>IF(obp!D210=0,"",obp!D210)</f>
        <v/>
      </c>
      <c r="E252" s="388" t="str">
        <f>IF(obp!E210=0,"-",obp!E210)</f>
        <v/>
      </c>
      <c r="F252" s="105" t="str">
        <f>IF(obp!F210="","",obp!F210+1)</f>
        <v/>
      </c>
      <c r="G252" s="354" t="str">
        <f>IF(obp!G210="","",obp!G210)</f>
        <v/>
      </c>
      <c r="H252" s="684" t="str">
        <f>IF(obp!H210=0,"",obp!H210)</f>
        <v/>
      </c>
      <c r="I252" s="389" t="str">
        <f>IF(J252="","",(IF(obp!I210+1&gt;LOOKUP(H252,schaal2019,regels2019),obp!I210,obp!I210+1)))</f>
        <v/>
      </c>
      <c r="J252" s="356" t="str">
        <f>IF(obp!J210="","",obp!J210)</f>
        <v/>
      </c>
      <c r="K252" s="370"/>
      <c r="L252" s="1049">
        <f>IF(obp!L210="","",obp!L210)</f>
        <v>0</v>
      </c>
      <c r="M252" s="1049">
        <f>IF(obp!M210="","",obp!M210)</f>
        <v>0</v>
      </c>
      <c r="N252" s="1051" t="str">
        <f t="shared" si="93"/>
        <v/>
      </c>
      <c r="O252" s="1051"/>
      <c r="P252" s="1125" t="str">
        <f t="shared" si="94"/>
        <v/>
      </c>
      <c r="Q252" s="472"/>
      <c r="R252" s="923" t="str">
        <f t="shared" si="105"/>
        <v/>
      </c>
      <c r="S252" s="923" t="str">
        <f t="shared" si="95"/>
        <v/>
      </c>
      <c r="T252" s="925" t="str">
        <f t="shared" si="96"/>
        <v/>
      </c>
      <c r="U252" s="545"/>
      <c r="V252" s="1103"/>
      <c r="W252" s="1103"/>
      <c r="X252" s="1060"/>
      <c r="Y252" s="1095" t="e">
        <f t="shared" si="97"/>
        <v>#VALUE!</v>
      </c>
      <c r="Z252" s="1094">
        <f>tab!B$50</f>
        <v>0.6</v>
      </c>
      <c r="AA252" s="1126" t="e">
        <f t="shared" si="98"/>
        <v>#VALUE!</v>
      </c>
      <c r="AB252" s="1126" t="e">
        <f t="shared" si="99"/>
        <v>#VALUE!</v>
      </c>
      <c r="AC252" s="1126" t="e">
        <f t="shared" si="100"/>
        <v>#VALUE!</v>
      </c>
      <c r="AD252" s="1128" t="e">
        <f t="shared" si="101"/>
        <v>#VALUE!</v>
      </c>
      <c r="AE252" s="1128">
        <f t="shared" si="102"/>
        <v>0</v>
      </c>
      <c r="AF252" s="1096">
        <f>IF(H252&gt;8,tab!$B$51,tab!$B$54)</f>
        <v>0.5</v>
      </c>
      <c r="AG252" s="1097">
        <f t="shared" si="103"/>
        <v>0</v>
      </c>
      <c r="AH252" s="1093">
        <f t="shared" si="104"/>
        <v>0</v>
      </c>
      <c r="AK252" s="176"/>
    </row>
    <row r="253" spans="3:37" ht="12.75" customHeight="1" x14ac:dyDescent="0.3">
      <c r="C253" s="114"/>
      <c r="D253" s="353" t="str">
        <f>IF(obp!D211=0,"",obp!D211)</f>
        <v/>
      </c>
      <c r="E253" s="388" t="str">
        <f>IF(obp!E211=0,"-",obp!E211)</f>
        <v/>
      </c>
      <c r="F253" s="105" t="str">
        <f>IF(obp!F211="","",obp!F211+1)</f>
        <v/>
      </c>
      <c r="G253" s="354" t="str">
        <f>IF(obp!G211="","",obp!G211)</f>
        <v/>
      </c>
      <c r="H253" s="684" t="str">
        <f>IF(obp!H211=0,"",obp!H211)</f>
        <v/>
      </c>
      <c r="I253" s="389" t="str">
        <f>IF(J253="","",(IF(obp!I211+1&gt;LOOKUP(H253,schaal2019,regels2019),obp!I211,obp!I211+1)))</f>
        <v/>
      </c>
      <c r="J253" s="356" t="str">
        <f>IF(obp!J211="","",obp!J211)</f>
        <v/>
      </c>
      <c r="K253" s="370"/>
      <c r="L253" s="1049">
        <f>IF(obp!L211="","",obp!L211)</f>
        <v>0</v>
      </c>
      <c r="M253" s="1049">
        <f>IF(obp!M211="","",obp!M211)</f>
        <v>0</v>
      </c>
      <c r="N253" s="1051" t="str">
        <f t="shared" si="93"/>
        <v/>
      </c>
      <c r="O253" s="1051"/>
      <c r="P253" s="1125" t="str">
        <f t="shared" si="94"/>
        <v/>
      </c>
      <c r="Q253" s="472"/>
      <c r="R253" s="923" t="str">
        <f t="shared" si="105"/>
        <v/>
      </c>
      <c r="S253" s="923" t="str">
        <f t="shared" si="95"/>
        <v/>
      </c>
      <c r="T253" s="925" t="str">
        <f t="shared" si="96"/>
        <v/>
      </c>
      <c r="U253" s="545"/>
      <c r="V253" s="1103"/>
      <c r="W253" s="1103"/>
      <c r="X253" s="1060"/>
      <c r="Y253" s="1095" t="e">
        <f t="shared" si="97"/>
        <v>#VALUE!</v>
      </c>
      <c r="Z253" s="1094">
        <f>tab!B$50</f>
        <v>0.6</v>
      </c>
      <c r="AA253" s="1126" t="e">
        <f t="shared" si="98"/>
        <v>#VALUE!</v>
      </c>
      <c r="AB253" s="1126" t="e">
        <f t="shared" si="99"/>
        <v>#VALUE!</v>
      </c>
      <c r="AC253" s="1126" t="e">
        <f t="shared" si="100"/>
        <v>#VALUE!</v>
      </c>
      <c r="AD253" s="1128" t="e">
        <f t="shared" si="101"/>
        <v>#VALUE!</v>
      </c>
      <c r="AE253" s="1128">
        <f t="shared" si="102"/>
        <v>0</v>
      </c>
      <c r="AF253" s="1096">
        <f>IF(H253&gt;8,tab!$B$51,tab!$B$54)</f>
        <v>0.5</v>
      </c>
      <c r="AG253" s="1097">
        <f t="shared" si="103"/>
        <v>0</v>
      </c>
      <c r="AH253" s="1093">
        <f t="shared" si="104"/>
        <v>0</v>
      </c>
      <c r="AK253" s="176"/>
    </row>
    <row r="254" spans="3:37" ht="12.75" customHeight="1" x14ac:dyDescent="0.3">
      <c r="C254" s="114"/>
      <c r="D254" s="353" t="str">
        <f>IF(obp!D212=0,"",obp!D212)</f>
        <v/>
      </c>
      <c r="E254" s="388" t="str">
        <f>IF(obp!E212=0,"-",obp!E212)</f>
        <v/>
      </c>
      <c r="F254" s="105" t="str">
        <f>IF(obp!F212="","",obp!F212+1)</f>
        <v/>
      </c>
      <c r="G254" s="354" t="str">
        <f>IF(obp!G212="","",obp!G212)</f>
        <v/>
      </c>
      <c r="H254" s="684" t="str">
        <f>IF(obp!H212=0,"",obp!H212)</f>
        <v/>
      </c>
      <c r="I254" s="389" t="str">
        <f>IF(J254="","",(IF(obp!I212+1&gt;LOOKUP(H254,schaal2019,regels2019),obp!I212,obp!I212+1)))</f>
        <v/>
      </c>
      <c r="J254" s="356" t="str">
        <f>IF(obp!J212="","",obp!J212)</f>
        <v/>
      </c>
      <c r="K254" s="370"/>
      <c r="L254" s="1049">
        <f>IF(obp!L212="","",obp!L212)</f>
        <v>0</v>
      </c>
      <c r="M254" s="1049">
        <f>IF(obp!M212="","",obp!M212)</f>
        <v>0</v>
      </c>
      <c r="N254" s="1051" t="str">
        <f t="shared" si="93"/>
        <v/>
      </c>
      <c r="O254" s="1051"/>
      <c r="P254" s="1125" t="str">
        <f t="shared" si="94"/>
        <v/>
      </c>
      <c r="Q254" s="472"/>
      <c r="R254" s="923" t="str">
        <f t="shared" si="105"/>
        <v/>
      </c>
      <c r="S254" s="923" t="str">
        <f t="shared" si="95"/>
        <v/>
      </c>
      <c r="T254" s="925" t="str">
        <f t="shared" si="96"/>
        <v/>
      </c>
      <c r="U254" s="545"/>
      <c r="V254" s="1103"/>
      <c r="W254" s="1103"/>
      <c r="X254" s="1060"/>
      <c r="Y254" s="1095" t="e">
        <f t="shared" si="97"/>
        <v>#VALUE!</v>
      </c>
      <c r="Z254" s="1094">
        <f>tab!B$50</f>
        <v>0.6</v>
      </c>
      <c r="AA254" s="1126" t="e">
        <f t="shared" si="98"/>
        <v>#VALUE!</v>
      </c>
      <c r="AB254" s="1126" t="e">
        <f t="shared" si="99"/>
        <v>#VALUE!</v>
      </c>
      <c r="AC254" s="1126" t="e">
        <f t="shared" si="100"/>
        <v>#VALUE!</v>
      </c>
      <c r="AD254" s="1128" t="e">
        <f t="shared" si="101"/>
        <v>#VALUE!</v>
      </c>
      <c r="AE254" s="1128">
        <f t="shared" si="102"/>
        <v>0</v>
      </c>
      <c r="AF254" s="1096">
        <f>IF(H254&gt;8,tab!$B$51,tab!$B$54)</f>
        <v>0.5</v>
      </c>
      <c r="AG254" s="1097">
        <f t="shared" si="103"/>
        <v>0</v>
      </c>
      <c r="AH254" s="1093">
        <f t="shared" si="104"/>
        <v>0</v>
      </c>
      <c r="AK254" s="176"/>
    </row>
    <row r="255" spans="3:37" ht="12.75" customHeight="1" x14ac:dyDescent="0.3">
      <c r="C255" s="114"/>
      <c r="D255" s="353" t="str">
        <f>IF(obp!D213=0,"",obp!D213)</f>
        <v/>
      </c>
      <c r="E255" s="388" t="str">
        <f>IF(obp!E213=0,"-",obp!E213)</f>
        <v/>
      </c>
      <c r="F255" s="105" t="str">
        <f>IF(obp!F213="","",obp!F213+1)</f>
        <v/>
      </c>
      <c r="G255" s="354" t="str">
        <f>IF(obp!G213="","",obp!G213)</f>
        <v/>
      </c>
      <c r="H255" s="684" t="str">
        <f>IF(obp!H213=0,"",obp!H213)</f>
        <v/>
      </c>
      <c r="I255" s="389" t="str">
        <f>IF(J255="","",(IF(obp!I213+1&gt;LOOKUP(H255,schaal2019,regels2019),obp!I213,obp!I213+1)))</f>
        <v/>
      </c>
      <c r="J255" s="356" t="str">
        <f>IF(obp!J213="","",obp!J213)</f>
        <v/>
      </c>
      <c r="K255" s="370"/>
      <c r="L255" s="1049">
        <f>IF(obp!L213="","",obp!L213)</f>
        <v>0</v>
      </c>
      <c r="M255" s="1049">
        <f>IF(obp!M213="","",obp!M213)</f>
        <v>0</v>
      </c>
      <c r="N255" s="1051" t="str">
        <f t="shared" si="93"/>
        <v/>
      </c>
      <c r="O255" s="1051"/>
      <c r="P255" s="1125" t="str">
        <f t="shared" si="94"/>
        <v/>
      </c>
      <c r="Q255" s="472"/>
      <c r="R255" s="923" t="str">
        <f t="shared" si="105"/>
        <v/>
      </c>
      <c r="S255" s="923" t="str">
        <f t="shared" si="95"/>
        <v/>
      </c>
      <c r="T255" s="925" t="str">
        <f t="shared" si="96"/>
        <v/>
      </c>
      <c r="U255" s="545"/>
      <c r="V255" s="1103"/>
      <c r="W255" s="1103"/>
      <c r="X255" s="1060"/>
      <c r="Y255" s="1095" t="e">
        <f t="shared" si="97"/>
        <v>#VALUE!</v>
      </c>
      <c r="Z255" s="1094">
        <f>tab!B$50</f>
        <v>0.6</v>
      </c>
      <c r="AA255" s="1126" t="e">
        <f t="shared" si="98"/>
        <v>#VALUE!</v>
      </c>
      <c r="AB255" s="1126" t="e">
        <f t="shared" si="99"/>
        <v>#VALUE!</v>
      </c>
      <c r="AC255" s="1126" t="e">
        <f t="shared" si="100"/>
        <v>#VALUE!</v>
      </c>
      <c r="AD255" s="1128" t="e">
        <f t="shared" si="101"/>
        <v>#VALUE!</v>
      </c>
      <c r="AE255" s="1128">
        <f t="shared" si="102"/>
        <v>0</v>
      </c>
      <c r="AF255" s="1096">
        <f>IF(H255&gt;8,tab!$B$51,tab!$B$54)</f>
        <v>0.5</v>
      </c>
      <c r="AG255" s="1097">
        <f t="shared" si="103"/>
        <v>0</v>
      </c>
      <c r="AH255" s="1093">
        <f t="shared" si="104"/>
        <v>0</v>
      </c>
      <c r="AK255" s="176"/>
    </row>
    <row r="256" spans="3:37" ht="12.75" customHeight="1" x14ac:dyDescent="0.3">
      <c r="C256" s="114"/>
      <c r="D256" s="353" t="str">
        <f>IF(obp!D214=0,"",obp!D214)</f>
        <v/>
      </c>
      <c r="E256" s="388" t="str">
        <f>IF(obp!E214=0,"-",obp!E214)</f>
        <v/>
      </c>
      <c r="F256" s="105" t="str">
        <f>IF(obp!F214="","",obp!F214+1)</f>
        <v/>
      </c>
      <c r="G256" s="354" t="str">
        <f>IF(obp!G214="","",obp!G214)</f>
        <v/>
      </c>
      <c r="H256" s="684" t="str">
        <f>IF(obp!H214=0,"",obp!H214)</f>
        <v/>
      </c>
      <c r="I256" s="389" t="str">
        <f>IF(J256="","",(IF(obp!I214+1&gt;LOOKUP(H256,schaal2019,regels2019),obp!I214,obp!I214+1)))</f>
        <v/>
      </c>
      <c r="J256" s="356" t="str">
        <f>IF(obp!J214="","",obp!J214)</f>
        <v/>
      </c>
      <c r="K256" s="370"/>
      <c r="L256" s="1049">
        <f>IF(obp!L214="","",obp!L214)</f>
        <v>0</v>
      </c>
      <c r="M256" s="1049">
        <f>IF(obp!M214="","",obp!M214)</f>
        <v>0</v>
      </c>
      <c r="N256" s="1051" t="str">
        <f t="shared" si="93"/>
        <v/>
      </c>
      <c r="O256" s="1051"/>
      <c r="P256" s="1125" t="str">
        <f t="shared" si="94"/>
        <v/>
      </c>
      <c r="Q256" s="472"/>
      <c r="R256" s="923" t="str">
        <f t="shared" si="105"/>
        <v/>
      </c>
      <c r="S256" s="923" t="str">
        <f t="shared" si="95"/>
        <v/>
      </c>
      <c r="T256" s="925" t="str">
        <f t="shared" si="96"/>
        <v/>
      </c>
      <c r="U256" s="545"/>
      <c r="V256" s="1103"/>
      <c r="W256" s="1103"/>
      <c r="X256" s="1060"/>
      <c r="Y256" s="1095" t="e">
        <f t="shared" si="97"/>
        <v>#VALUE!</v>
      </c>
      <c r="Z256" s="1094">
        <f>tab!B$50</f>
        <v>0.6</v>
      </c>
      <c r="AA256" s="1126" t="e">
        <f t="shared" si="98"/>
        <v>#VALUE!</v>
      </c>
      <c r="AB256" s="1126" t="e">
        <f t="shared" si="99"/>
        <v>#VALUE!</v>
      </c>
      <c r="AC256" s="1126" t="e">
        <f t="shared" si="100"/>
        <v>#VALUE!</v>
      </c>
      <c r="AD256" s="1128" t="e">
        <f t="shared" si="101"/>
        <v>#VALUE!</v>
      </c>
      <c r="AE256" s="1128">
        <f t="shared" si="102"/>
        <v>0</v>
      </c>
      <c r="AF256" s="1096">
        <f>IF(H256&gt;8,tab!$B$51,tab!$B$54)</f>
        <v>0.5</v>
      </c>
      <c r="AG256" s="1097">
        <f t="shared" si="103"/>
        <v>0</v>
      </c>
      <c r="AH256" s="1093">
        <f t="shared" si="104"/>
        <v>0</v>
      </c>
      <c r="AK256" s="176"/>
    </row>
    <row r="257" spans="3:37" ht="12.75" customHeight="1" x14ac:dyDescent="0.3">
      <c r="C257" s="114"/>
      <c r="D257" s="353" t="str">
        <f>IF(obp!D215=0,"",obp!D215)</f>
        <v/>
      </c>
      <c r="E257" s="388" t="str">
        <f>IF(obp!E215=0,"-",obp!E215)</f>
        <v/>
      </c>
      <c r="F257" s="105" t="str">
        <f>IF(obp!F215="","",obp!F215+1)</f>
        <v/>
      </c>
      <c r="G257" s="354" t="str">
        <f>IF(obp!G215="","",obp!G215)</f>
        <v/>
      </c>
      <c r="H257" s="684" t="str">
        <f>IF(obp!H215=0,"",obp!H215)</f>
        <v/>
      </c>
      <c r="I257" s="389" t="str">
        <f>IF(J257="","",(IF(obp!I215+1&gt;LOOKUP(H257,schaal2019,regels2019),obp!I215,obp!I215+1)))</f>
        <v/>
      </c>
      <c r="J257" s="356" t="str">
        <f>IF(obp!J215="","",obp!J215)</f>
        <v/>
      </c>
      <c r="K257" s="370"/>
      <c r="L257" s="1049">
        <f>IF(obp!L215="","",obp!L215)</f>
        <v>0</v>
      </c>
      <c r="M257" s="1049">
        <f>IF(obp!M215="","",obp!M215)</f>
        <v>0</v>
      </c>
      <c r="N257" s="1051" t="str">
        <f t="shared" si="93"/>
        <v/>
      </c>
      <c r="O257" s="1051"/>
      <c r="P257" s="1125" t="str">
        <f t="shared" si="94"/>
        <v/>
      </c>
      <c r="Q257" s="472"/>
      <c r="R257" s="923" t="str">
        <f t="shared" si="105"/>
        <v/>
      </c>
      <c r="S257" s="923" t="str">
        <f t="shared" si="95"/>
        <v/>
      </c>
      <c r="T257" s="925" t="str">
        <f t="shared" si="96"/>
        <v/>
      </c>
      <c r="U257" s="545"/>
      <c r="V257" s="1103"/>
      <c r="W257" s="1103"/>
      <c r="X257" s="1060"/>
      <c r="Y257" s="1095" t="e">
        <f t="shared" si="97"/>
        <v>#VALUE!</v>
      </c>
      <c r="Z257" s="1094">
        <f>tab!B$50</f>
        <v>0.6</v>
      </c>
      <c r="AA257" s="1126" t="e">
        <f t="shared" si="98"/>
        <v>#VALUE!</v>
      </c>
      <c r="AB257" s="1126" t="e">
        <f t="shared" si="99"/>
        <v>#VALUE!</v>
      </c>
      <c r="AC257" s="1126" t="e">
        <f t="shared" si="100"/>
        <v>#VALUE!</v>
      </c>
      <c r="AD257" s="1128" t="e">
        <f t="shared" si="101"/>
        <v>#VALUE!</v>
      </c>
      <c r="AE257" s="1128">
        <f t="shared" si="102"/>
        <v>0</v>
      </c>
      <c r="AF257" s="1096">
        <f>IF(H257&gt;8,tab!$B$51,tab!$B$54)</f>
        <v>0.5</v>
      </c>
      <c r="AG257" s="1097">
        <f t="shared" si="103"/>
        <v>0</v>
      </c>
      <c r="AH257" s="1093">
        <f t="shared" si="104"/>
        <v>0</v>
      </c>
      <c r="AK257" s="176"/>
    </row>
    <row r="258" spans="3:37" x14ac:dyDescent="0.3">
      <c r="C258" s="114"/>
      <c r="D258" s="730"/>
      <c r="E258" s="731"/>
      <c r="F258" s="119"/>
      <c r="G258" s="683"/>
      <c r="H258" s="732"/>
      <c r="I258" s="369"/>
      <c r="J258" s="963">
        <f>SUM(J228:J257)</f>
        <v>1</v>
      </c>
      <c r="K258" s="715"/>
      <c r="L258" s="1062">
        <f t="shared" ref="L258:M258" si="106">SUM(L228:L257)</f>
        <v>0</v>
      </c>
      <c r="M258" s="1062">
        <f t="shared" si="106"/>
        <v>0</v>
      </c>
      <c r="N258" s="1039">
        <f>SUM(N228:N257)</f>
        <v>40</v>
      </c>
      <c r="O258" s="919"/>
      <c r="P258" s="1039">
        <f t="shared" ref="P258" si="107">SUM(P228:P257)</f>
        <v>40</v>
      </c>
      <c r="Q258" s="715"/>
      <c r="R258" s="964">
        <f t="shared" ref="R258:T258" si="108">SUM(R228:R257)</f>
        <v>62413.181916817368</v>
      </c>
      <c r="S258" s="965">
        <f t="shared" si="108"/>
        <v>1542.0180831826403</v>
      </c>
      <c r="T258" s="962">
        <f t="shared" si="108"/>
        <v>63955.200000000012</v>
      </c>
      <c r="U258" s="117"/>
      <c r="V258" s="1063"/>
      <c r="W258" s="1063"/>
      <c r="Y258" s="1112"/>
      <c r="Z258" s="1113"/>
      <c r="AA258" s="1113"/>
      <c r="AB258" s="1113"/>
      <c r="AC258" s="1113"/>
      <c r="AG258" s="1090">
        <f>SUM(AG228:AG257)</f>
        <v>0</v>
      </c>
      <c r="AH258" s="1114">
        <f>SUM(AH228:AH257)</f>
        <v>0</v>
      </c>
    </row>
    <row r="259" spans="3:37" x14ac:dyDescent="0.3">
      <c r="V259" s="1063"/>
      <c r="W259" s="1063"/>
    </row>
    <row r="260" spans="3:37" x14ac:dyDescent="0.3">
      <c r="V260" s="1063"/>
      <c r="W260" s="1063"/>
    </row>
    <row r="261" spans="3:37" x14ac:dyDescent="0.3">
      <c r="V261" s="1063"/>
      <c r="W261" s="1063"/>
    </row>
    <row r="262" spans="3:37" x14ac:dyDescent="0.3">
      <c r="C262" s="8" t="s">
        <v>180</v>
      </c>
      <c r="E262" s="289" t="str">
        <f>tab!G2</f>
        <v>2025/26</v>
      </c>
      <c r="V262" s="1063"/>
      <c r="W262" s="1063"/>
    </row>
    <row r="263" spans="3:37" x14ac:dyDescent="0.3">
      <c r="C263" s="8" t="s">
        <v>193</v>
      </c>
      <c r="E263" s="289">
        <f>tab!H3</f>
        <v>45931</v>
      </c>
      <c r="V263" s="1063"/>
      <c r="W263" s="1063"/>
    </row>
    <row r="264" spans="3:37" x14ac:dyDescent="0.3">
      <c r="V264" s="1063"/>
      <c r="W264" s="1063"/>
    </row>
    <row r="265" spans="3:37" x14ac:dyDescent="0.3">
      <c r="C265" s="163"/>
      <c r="D265" s="961"/>
      <c r="E265" s="927"/>
      <c r="F265" s="928"/>
      <c r="G265" s="929"/>
      <c r="H265" s="930"/>
      <c r="I265" s="930"/>
      <c r="J265" s="931"/>
      <c r="K265" s="932"/>
      <c r="L265" s="930"/>
      <c r="M265" s="930"/>
      <c r="N265" s="931"/>
      <c r="O265" s="930"/>
      <c r="P265" s="930"/>
      <c r="Q265" s="932"/>
      <c r="R265" s="932"/>
      <c r="S265" s="933"/>
      <c r="T265" s="934"/>
      <c r="U265" s="109"/>
      <c r="V265" s="1063"/>
      <c r="W265" s="1063"/>
      <c r="AE265" s="1077"/>
      <c r="AF265" s="1078"/>
    </row>
    <row r="266" spans="3:37" x14ac:dyDescent="0.3">
      <c r="C266" s="382"/>
      <c r="D266" s="1033" t="s">
        <v>285</v>
      </c>
      <c r="E266" s="1033"/>
      <c r="F266" s="1033"/>
      <c r="G266" s="1033"/>
      <c r="H266" s="1033"/>
      <c r="I266" s="1033"/>
      <c r="J266" s="1033"/>
      <c r="K266" s="1034"/>
      <c r="L266" s="1033" t="s">
        <v>502</v>
      </c>
      <c r="M266" s="1035"/>
      <c r="N266" s="1033"/>
      <c r="O266" s="1033"/>
      <c r="P266" s="1133"/>
      <c r="Q266" s="902"/>
      <c r="R266" s="1033" t="s">
        <v>503</v>
      </c>
      <c r="S266" s="1036"/>
      <c r="T266" s="1134"/>
      <c r="U266" s="1135"/>
      <c r="V266" s="1064"/>
      <c r="W266" s="1064"/>
      <c r="X266" s="384"/>
      <c r="Y266" s="1063"/>
      <c r="Z266" s="1136"/>
      <c r="AD266" s="1137"/>
      <c r="AE266" s="1137"/>
      <c r="AF266" s="1136"/>
      <c r="AG266" s="1090"/>
      <c r="AH266" s="1091"/>
    </row>
    <row r="267" spans="3:37" x14ac:dyDescent="0.3">
      <c r="C267" s="382"/>
      <c r="D267" s="903" t="s">
        <v>494</v>
      </c>
      <c r="E267" s="877" t="s">
        <v>181</v>
      </c>
      <c r="F267" s="904" t="s">
        <v>137</v>
      </c>
      <c r="G267" s="905" t="s">
        <v>273</v>
      </c>
      <c r="H267" s="904" t="s">
        <v>206</v>
      </c>
      <c r="I267" s="904" t="s">
        <v>225</v>
      </c>
      <c r="J267" s="906" t="s">
        <v>140</v>
      </c>
      <c r="K267" s="914"/>
      <c r="L267" s="907" t="s">
        <v>479</v>
      </c>
      <c r="M267" s="907" t="s">
        <v>480</v>
      </c>
      <c r="N267" s="907" t="s">
        <v>478</v>
      </c>
      <c r="O267" s="907" t="s">
        <v>479</v>
      </c>
      <c r="P267" s="1138" t="s">
        <v>504</v>
      </c>
      <c r="Q267" s="881"/>
      <c r="R267" s="1037" t="s">
        <v>192</v>
      </c>
      <c r="S267" s="909" t="s">
        <v>505</v>
      </c>
      <c r="T267" s="910" t="s">
        <v>192</v>
      </c>
      <c r="U267" s="1139"/>
      <c r="V267" s="1101"/>
      <c r="W267" s="1101"/>
      <c r="X267" s="386"/>
      <c r="Y267" s="915" t="s">
        <v>303</v>
      </c>
      <c r="Z267" s="1127" t="s">
        <v>497</v>
      </c>
      <c r="AA267" s="1101" t="s">
        <v>498</v>
      </c>
      <c r="AB267" s="1101" t="s">
        <v>498</v>
      </c>
      <c r="AC267" s="1101" t="s">
        <v>495</v>
      </c>
      <c r="AD267" s="1048" t="s">
        <v>488</v>
      </c>
      <c r="AE267" s="1048" t="s">
        <v>489</v>
      </c>
      <c r="AF267" s="916" t="s">
        <v>490</v>
      </c>
      <c r="AG267" s="1092" t="s">
        <v>297</v>
      </c>
      <c r="AH267" s="1091" t="s">
        <v>427</v>
      </c>
    </row>
    <row r="268" spans="3:37" x14ac:dyDescent="0.3">
      <c r="C268" s="382"/>
      <c r="D268" s="911"/>
      <c r="E268" s="877"/>
      <c r="F268" s="904" t="s">
        <v>138</v>
      </c>
      <c r="G268" s="905" t="s">
        <v>274</v>
      </c>
      <c r="H268" s="904"/>
      <c r="I268" s="904"/>
      <c r="J268" s="906" t="s">
        <v>452</v>
      </c>
      <c r="K268" s="914"/>
      <c r="L268" s="907" t="s">
        <v>482</v>
      </c>
      <c r="M268" s="907" t="s">
        <v>483</v>
      </c>
      <c r="N268" s="907" t="s">
        <v>481</v>
      </c>
      <c r="O268" s="907" t="s">
        <v>493</v>
      </c>
      <c r="P268" s="1138" t="s">
        <v>269</v>
      </c>
      <c r="Q268" s="881"/>
      <c r="R268" s="908" t="s">
        <v>506</v>
      </c>
      <c r="S268" s="909" t="s">
        <v>484</v>
      </c>
      <c r="T268" s="910" t="s">
        <v>269</v>
      </c>
      <c r="U268" s="887"/>
      <c r="V268" s="1063"/>
      <c r="W268" s="1063"/>
      <c r="X268" s="129"/>
      <c r="Y268" s="915" t="s">
        <v>197</v>
      </c>
      <c r="Z268" s="1129">
        <f>tab!B$50</f>
        <v>0.6</v>
      </c>
      <c r="AA268" s="1101" t="s">
        <v>499</v>
      </c>
      <c r="AB268" s="1101" t="s">
        <v>500</v>
      </c>
      <c r="AC268" s="1101" t="s">
        <v>501</v>
      </c>
      <c r="AD268" s="1048" t="s">
        <v>491</v>
      </c>
      <c r="AE268" s="1048" t="s">
        <v>491</v>
      </c>
      <c r="AF268" s="916" t="s">
        <v>492</v>
      </c>
      <c r="AG268" s="1092"/>
      <c r="AH268" s="1093" t="s">
        <v>224</v>
      </c>
    </row>
    <row r="269" spans="3:37" x14ac:dyDescent="0.3">
      <c r="C269" s="114"/>
      <c r="D269" s="912"/>
      <c r="E269" s="912"/>
      <c r="F269" s="912"/>
      <c r="G269" s="912"/>
      <c r="H269" s="912"/>
      <c r="I269" s="912"/>
      <c r="J269" s="912"/>
      <c r="K269" s="913"/>
      <c r="L269" s="912"/>
      <c r="M269" s="912"/>
      <c r="N269" s="912"/>
      <c r="O269" s="912"/>
      <c r="P269" s="912"/>
      <c r="Q269" s="913"/>
      <c r="R269" s="935"/>
      <c r="S269" s="917"/>
      <c r="T269" s="936"/>
      <c r="U269" s="113"/>
      <c r="V269" s="1063"/>
      <c r="W269" s="1063"/>
      <c r="Y269" s="915"/>
      <c r="Z269" s="1064"/>
      <c r="AA269" s="1064"/>
      <c r="AB269" s="1064"/>
      <c r="AC269" s="1064"/>
      <c r="AE269" s="1063"/>
      <c r="AF269" s="1063"/>
      <c r="AG269" s="1092"/>
      <c r="AH269" s="1093"/>
    </row>
    <row r="270" spans="3:37" x14ac:dyDescent="0.3">
      <c r="C270" s="114"/>
      <c r="D270" s="353" t="str">
        <f>IF(obp!D228=0,"",obp!D228)</f>
        <v/>
      </c>
      <c r="E270" s="388" t="str">
        <f>IF(obp!E228=0,"-",obp!E228)</f>
        <v>nn</v>
      </c>
      <c r="F270" s="684" t="str">
        <f>IF(obp!F228="","",obp!F228+1)</f>
        <v/>
      </c>
      <c r="G270" s="710" t="str">
        <f>IF(obp!G228="","",obp!G228)</f>
        <v/>
      </c>
      <c r="H270" s="684">
        <f>IF(obp!H228=0,"",obp!H228)</f>
        <v>8</v>
      </c>
      <c r="I270" s="389">
        <f>IF(J270="","",(IF(obp!I228+1&gt;LOOKUP(H270,schaal2019,regels2019),obp!I228,obp!I228+1)))</f>
        <v>13</v>
      </c>
      <c r="J270" s="711">
        <f>IF(obp!J228="","",obp!J228)</f>
        <v>1</v>
      </c>
      <c r="K270" s="370"/>
      <c r="L270" s="1049">
        <f>IF(obp!L228="","",obp!L228)</f>
        <v>0</v>
      </c>
      <c r="M270" s="1049">
        <f>IF(obp!M228="","",obp!M228)</f>
        <v>0</v>
      </c>
      <c r="N270" s="1051">
        <f t="shared" ref="N270:N299" si="109">IF(J270="","",IF((J270*40)&gt;40,40,((J270*40))))</f>
        <v>40</v>
      </c>
      <c r="O270" s="1051"/>
      <c r="P270" s="1125">
        <f t="shared" ref="P270:P299" si="110">IF(J270="","",(SUM(L270:O270)))</f>
        <v>40</v>
      </c>
      <c r="Q270" s="472"/>
      <c r="R270" s="923">
        <f>IF(J270="","",(((1659*J270)-P270)*AB270))</f>
        <v>62413.181916817368</v>
      </c>
      <c r="S270" s="923">
        <f t="shared" ref="S270:S299" si="111">IF(J270="","",(P270*AC270)+(AA270*AD270)+((AE270*AA270*(1-AF270))))</f>
        <v>1542.0180831826403</v>
      </c>
      <c r="T270" s="925">
        <f t="shared" ref="T270:T299" si="112">IF(J270="","",(R270+S270))</f>
        <v>63955.200000000012</v>
      </c>
      <c r="U270" s="545"/>
      <c r="V270" s="1103"/>
      <c r="W270" s="1103"/>
      <c r="X270" s="1060"/>
      <c r="Y270" s="1095">
        <f t="shared" ref="Y270:Y299" si="113">ROUND(5/12*VLOOKUP(H270,salaris2020,I270+1,FALSE)+7/12*VLOOKUP(H270,salaris2020,I270+1,FALSE),0)</f>
        <v>3331</v>
      </c>
      <c r="Z270" s="1094">
        <f>tab!B$50</f>
        <v>0.6</v>
      </c>
      <c r="AA270" s="1126">
        <f t="shared" ref="AA270:AA299" si="114">(Y270*12/1659)</f>
        <v>24.094032549728752</v>
      </c>
      <c r="AB270" s="1126">
        <f t="shared" ref="AB270:AB299" si="115">(Y270*12*(1+Z270))/1659</f>
        <v>38.550452079566007</v>
      </c>
      <c r="AC270" s="1126">
        <f t="shared" ref="AC270:AC299" si="116">AB270-AA270</f>
        <v>14.456419529837255</v>
      </c>
      <c r="AD270" s="1128">
        <f t="shared" ref="AD270:AD299" si="117">(N270+O270)</f>
        <v>40</v>
      </c>
      <c r="AE270" s="1128">
        <f t="shared" ref="AE270:AE299" si="118">(L270+M270)</f>
        <v>0</v>
      </c>
      <c r="AF270" s="1096">
        <f>IF(H270&gt;8,tab!$B$51,tab!$B$54)</f>
        <v>0.4</v>
      </c>
      <c r="AG270" s="1097">
        <f t="shared" ref="AG270:AG299" si="119">IF(F270&lt;25,0,IF(F270=25,25,IF(F270&lt;40,0,IF(F270=40,40,IF(F270&gt;=40,0)))))</f>
        <v>0</v>
      </c>
      <c r="AH270" s="1093">
        <f t="shared" ref="AH270:AH299" si="120">IF(AG270=25,(Y270*1.08*(J270)/2),IF(AG270=40,(Y270*1.08*(J270)),IF(AG270=0,0)))</f>
        <v>0</v>
      </c>
    </row>
    <row r="271" spans="3:37" x14ac:dyDescent="0.3">
      <c r="C271" s="114"/>
      <c r="D271" s="353" t="str">
        <f>IF(obp!D229=0,"",obp!D229)</f>
        <v/>
      </c>
      <c r="E271" s="388" t="str">
        <f>IF(obp!E229=0,"-",obp!E229)</f>
        <v/>
      </c>
      <c r="F271" s="684" t="str">
        <f>IF(obp!F229="","",obp!F229+1)</f>
        <v/>
      </c>
      <c r="G271" s="710" t="str">
        <f>IF(obp!G229="","",obp!G229)</f>
        <v/>
      </c>
      <c r="H271" s="684" t="str">
        <f>IF(obp!H229=0,"",obp!H229)</f>
        <v/>
      </c>
      <c r="I271" s="389" t="str">
        <f>IF(J271="","",(IF(obp!I229+1&gt;LOOKUP(H271,schaal2019,regels2019),obp!I229,obp!I229+1)))</f>
        <v/>
      </c>
      <c r="J271" s="711" t="str">
        <f>IF(obp!J229="","",obp!J229)</f>
        <v/>
      </c>
      <c r="K271" s="370"/>
      <c r="L271" s="1049">
        <f>IF(obp!L229="","",obp!L229)</f>
        <v>0</v>
      </c>
      <c r="M271" s="1049">
        <f>IF(obp!M229="","",obp!M229)</f>
        <v>0</v>
      </c>
      <c r="N271" s="1051" t="str">
        <f t="shared" si="109"/>
        <v/>
      </c>
      <c r="O271" s="1051"/>
      <c r="P271" s="1125" t="str">
        <f t="shared" si="110"/>
        <v/>
      </c>
      <c r="Q271" s="472"/>
      <c r="R271" s="923" t="str">
        <f t="shared" ref="R271:R299" si="121">IF(J271="","",(((1659*J271)-P271)*AB271))</f>
        <v/>
      </c>
      <c r="S271" s="923" t="str">
        <f t="shared" si="111"/>
        <v/>
      </c>
      <c r="T271" s="925" t="str">
        <f t="shared" si="112"/>
        <v/>
      </c>
      <c r="U271" s="545"/>
      <c r="V271" s="1103"/>
      <c r="W271" s="1103"/>
      <c r="X271" s="1060"/>
      <c r="Y271" s="1095" t="e">
        <f t="shared" si="113"/>
        <v>#VALUE!</v>
      </c>
      <c r="Z271" s="1094">
        <f>tab!B$50</f>
        <v>0.6</v>
      </c>
      <c r="AA271" s="1126" t="e">
        <f t="shared" si="114"/>
        <v>#VALUE!</v>
      </c>
      <c r="AB271" s="1126" t="e">
        <f t="shared" si="115"/>
        <v>#VALUE!</v>
      </c>
      <c r="AC271" s="1126" t="e">
        <f t="shared" si="116"/>
        <v>#VALUE!</v>
      </c>
      <c r="AD271" s="1128" t="e">
        <f t="shared" si="117"/>
        <v>#VALUE!</v>
      </c>
      <c r="AE271" s="1128">
        <f t="shared" si="118"/>
        <v>0</v>
      </c>
      <c r="AF271" s="1096">
        <f>IF(H271&gt;8,tab!$B$51,tab!$B$54)</f>
        <v>0.5</v>
      </c>
      <c r="AG271" s="1097">
        <f t="shared" si="119"/>
        <v>0</v>
      </c>
      <c r="AH271" s="1093">
        <f t="shared" si="120"/>
        <v>0</v>
      </c>
    </row>
    <row r="272" spans="3:37" x14ac:dyDescent="0.3">
      <c r="C272" s="114"/>
      <c r="D272" s="353" t="str">
        <f>IF(obp!D230=0,"",obp!D230)</f>
        <v/>
      </c>
      <c r="E272" s="388" t="str">
        <f>IF(obp!E230=0,"-",obp!E230)</f>
        <v/>
      </c>
      <c r="F272" s="684" t="str">
        <f>IF(obp!F230="","",obp!F230+1)</f>
        <v/>
      </c>
      <c r="G272" s="710" t="str">
        <f>IF(obp!G230="","",obp!G230)</f>
        <v/>
      </c>
      <c r="H272" s="684" t="str">
        <f>IF(obp!H230=0,"",obp!H230)</f>
        <v/>
      </c>
      <c r="I272" s="389" t="str">
        <f>IF(J272="","",(IF(obp!I230+1&gt;LOOKUP(H272,schaal2019,regels2019),obp!I230,obp!I230+1)))</f>
        <v/>
      </c>
      <c r="J272" s="711" t="str">
        <f>IF(obp!J230="","",obp!J230)</f>
        <v/>
      </c>
      <c r="K272" s="370"/>
      <c r="L272" s="1049">
        <f>IF(obp!L230="","",obp!L230)</f>
        <v>0</v>
      </c>
      <c r="M272" s="1049">
        <f>IF(obp!M230="","",obp!M230)</f>
        <v>0</v>
      </c>
      <c r="N272" s="1051" t="str">
        <f t="shared" si="109"/>
        <v/>
      </c>
      <c r="O272" s="1051"/>
      <c r="P272" s="1125" t="str">
        <f t="shared" si="110"/>
        <v/>
      </c>
      <c r="Q272" s="472"/>
      <c r="R272" s="923" t="str">
        <f t="shared" si="121"/>
        <v/>
      </c>
      <c r="S272" s="923" t="str">
        <f t="shared" si="111"/>
        <v/>
      </c>
      <c r="T272" s="925" t="str">
        <f t="shared" si="112"/>
        <v/>
      </c>
      <c r="U272" s="545"/>
      <c r="V272" s="1103"/>
      <c r="W272" s="1103"/>
      <c r="X272" s="1060"/>
      <c r="Y272" s="1095" t="e">
        <f t="shared" si="113"/>
        <v>#VALUE!</v>
      </c>
      <c r="Z272" s="1094">
        <f>tab!B$50</f>
        <v>0.6</v>
      </c>
      <c r="AA272" s="1126" t="e">
        <f t="shared" si="114"/>
        <v>#VALUE!</v>
      </c>
      <c r="AB272" s="1126" t="e">
        <f t="shared" si="115"/>
        <v>#VALUE!</v>
      </c>
      <c r="AC272" s="1126" t="e">
        <f t="shared" si="116"/>
        <v>#VALUE!</v>
      </c>
      <c r="AD272" s="1128" t="e">
        <f t="shared" si="117"/>
        <v>#VALUE!</v>
      </c>
      <c r="AE272" s="1128">
        <f t="shared" si="118"/>
        <v>0</v>
      </c>
      <c r="AF272" s="1096">
        <f>IF(H272&gt;8,tab!$B$51,tab!$B$54)</f>
        <v>0.5</v>
      </c>
      <c r="AG272" s="1097">
        <f t="shared" si="119"/>
        <v>0</v>
      </c>
      <c r="AH272" s="1093">
        <f t="shared" si="120"/>
        <v>0</v>
      </c>
    </row>
    <row r="273" spans="3:34" x14ac:dyDescent="0.3">
      <c r="C273" s="114"/>
      <c r="D273" s="353" t="str">
        <f>IF(obp!D231=0,"",obp!D231)</f>
        <v/>
      </c>
      <c r="E273" s="388" t="str">
        <f>IF(obp!E231=0,"-",obp!E231)</f>
        <v/>
      </c>
      <c r="F273" s="684" t="str">
        <f>IF(obp!F231="","",obp!F231+1)</f>
        <v/>
      </c>
      <c r="G273" s="710" t="str">
        <f>IF(obp!G231="","",obp!G231)</f>
        <v/>
      </c>
      <c r="H273" s="684" t="str">
        <f>IF(obp!H231=0,"",obp!H231)</f>
        <v/>
      </c>
      <c r="I273" s="389" t="str">
        <f>IF(J273="","",(IF(obp!I231+1&gt;LOOKUP(H273,schaal2019,regels2019),obp!I231,obp!I231+1)))</f>
        <v/>
      </c>
      <c r="J273" s="711" t="str">
        <f>IF(obp!J231="","",obp!J231)</f>
        <v/>
      </c>
      <c r="K273" s="370"/>
      <c r="L273" s="1049">
        <f>IF(obp!L231="","",obp!L231)</f>
        <v>0</v>
      </c>
      <c r="M273" s="1049">
        <f>IF(obp!M231="","",obp!M231)</f>
        <v>0</v>
      </c>
      <c r="N273" s="1051" t="str">
        <f t="shared" si="109"/>
        <v/>
      </c>
      <c r="O273" s="1051"/>
      <c r="P273" s="1125" t="str">
        <f t="shared" si="110"/>
        <v/>
      </c>
      <c r="Q273" s="472"/>
      <c r="R273" s="923" t="str">
        <f t="shared" si="121"/>
        <v/>
      </c>
      <c r="S273" s="923" t="str">
        <f t="shared" si="111"/>
        <v/>
      </c>
      <c r="T273" s="925" t="str">
        <f t="shared" si="112"/>
        <v/>
      </c>
      <c r="U273" s="545"/>
      <c r="V273" s="1103"/>
      <c r="W273" s="1103"/>
      <c r="X273" s="1060"/>
      <c r="Y273" s="1095" t="e">
        <f t="shared" si="113"/>
        <v>#VALUE!</v>
      </c>
      <c r="Z273" s="1094">
        <f>tab!B$50</f>
        <v>0.6</v>
      </c>
      <c r="AA273" s="1126" t="e">
        <f t="shared" si="114"/>
        <v>#VALUE!</v>
      </c>
      <c r="AB273" s="1126" t="e">
        <f t="shared" si="115"/>
        <v>#VALUE!</v>
      </c>
      <c r="AC273" s="1126" t="e">
        <f t="shared" si="116"/>
        <v>#VALUE!</v>
      </c>
      <c r="AD273" s="1128" t="e">
        <f t="shared" si="117"/>
        <v>#VALUE!</v>
      </c>
      <c r="AE273" s="1128">
        <f t="shared" si="118"/>
        <v>0</v>
      </c>
      <c r="AF273" s="1096">
        <f>IF(H273&gt;8,tab!$B$51,tab!$B$54)</f>
        <v>0.5</v>
      </c>
      <c r="AG273" s="1097">
        <f t="shared" si="119"/>
        <v>0</v>
      </c>
      <c r="AH273" s="1093">
        <f t="shared" si="120"/>
        <v>0</v>
      </c>
    </row>
    <row r="274" spans="3:34" x14ac:dyDescent="0.3">
      <c r="C274" s="114"/>
      <c r="D274" s="353" t="str">
        <f>IF(obp!D232=0,"",obp!D232)</f>
        <v/>
      </c>
      <c r="E274" s="388" t="str">
        <f>IF(obp!E232=0,"-",obp!E232)</f>
        <v/>
      </c>
      <c r="F274" s="684" t="str">
        <f>IF(obp!F232="","",obp!F232+1)</f>
        <v/>
      </c>
      <c r="G274" s="710" t="str">
        <f>IF(obp!G232="","",obp!G232)</f>
        <v/>
      </c>
      <c r="H274" s="684" t="str">
        <f>IF(obp!H232=0,"",obp!H232)</f>
        <v/>
      </c>
      <c r="I274" s="389" t="str">
        <f>IF(J274="","",(IF(obp!I232+1&gt;LOOKUP(H274,schaal2019,regels2019),obp!I232,obp!I232+1)))</f>
        <v/>
      </c>
      <c r="J274" s="711" t="str">
        <f>IF(obp!J232="","",obp!J232)</f>
        <v/>
      </c>
      <c r="K274" s="370"/>
      <c r="L274" s="1049">
        <f>IF(obp!L232="","",obp!L232)</f>
        <v>0</v>
      </c>
      <c r="M274" s="1049">
        <f>IF(obp!M232="","",obp!M232)</f>
        <v>0</v>
      </c>
      <c r="N274" s="1051" t="str">
        <f t="shared" si="109"/>
        <v/>
      </c>
      <c r="O274" s="1051"/>
      <c r="P274" s="1125" t="str">
        <f t="shared" si="110"/>
        <v/>
      </c>
      <c r="Q274" s="472"/>
      <c r="R274" s="923" t="str">
        <f t="shared" si="121"/>
        <v/>
      </c>
      <c r="S274" s="923" t="str">
        <f t="shared" si="111"/>
        <v/>
      </c>
      <c r="T274" s="925" t="str">
        <f t="shared" si="112"/>
        <v/>
      </c>
      <c r="U274" s="545"/>
      <c r="V274" s="1103"/>
      <c r="W274" s="1103"/>
      <c r="X274" s="1060"/>
      <c r="Y274" s="1095" t="e">
        <f t="shared" si="113"/>
        <v>#VALUE!</v>
      </c>
      <c r="Z274" s="1094">
        <f>tab!B$50</f>
        <v>0.6</v>
      </c>
      <c r="AA274" s="1126" t="e">
        <f t="shared" si="114"/>
        <v>#VALUE!</v>
      </c>
      <c r="AB274" s="1126" t="e">
        <f t="shared" si="115"/>
        <v>#VALUE!</v>
      </c>
      <c r="AC274" s="1126" t="e">
        <f t="shared" si="116"/>
        <v>#VALUE!</v>
      </c>
      <c r="AD274" s="1128" t="e">
        <f t="shared" si="117"/>
        <v>#VALUE!</v>
      </c>
      <c r="AE274" s="1128">
        <f t="shared" si="118"/>
        <v>0</v>
      </c>
      <c r="AF274" s="1096">
        <f>IF(H274&gt;8,tab!$B$51,tab!$B$54)</f>
        <v>0.5</v>
      </c>
      <c r="AG274" s="1097">
        <f t="shared" si="119"/>
        <v>0</v>
      </c>
      <c r="AH274" s="1093">
        <f t="shared" si="120"/>
        <v>0</v>
      </c>
    </row>
    <row r="275" spans="3:34" x14ac:dyDescent="0.3">
      <c r="C275" s="114"/>
      <c r="D275" s="353" t="str">
        <f>IF(obp!D233=0,"",obp!D233)</f>
        <v/>
      </c>
      <c r="E275" s="388" t="str">
        <f>IF(obp!E233=0,"-",obp!E233)</f>
        <v/>
      </c>
      <c r="F275" s="684" t="str">
        <f>IF(obp!F233="","",obp!F233+1)</f>
        <v/>
      </c>
      <c r="G275" s="710" t="str">
        <f>IF(obp!G233="","",obp!G233)</f>
        <v/>
      </c>
      <c r="H275" s="684" t="str">
        <f>IF(obp!H233=0,"",obp!H233)</f>
        <v/>
      </c>
      <c r="I275" s="389" t="str">
        <f>IF(J275="","",(IF(obp!I233+1&gt;LOOKUP(H275,schaal2019,regels2019),obp!I233,obp!I233+1)))</f>
        <v/>
      </c>
      <c r="J275" s="711" t="str">
        <f>IF(obp!J233="","",obp!J233)</f>
        <v/>
      </c>
      <c r="K275" s="370"/>
      <c r="L275" s="1049">
        <f>IF(obp!L233="","",obp!L233)</f>
        <v>0</v>
      </c>
      <c r="M275" s="1049">
        <f>IF(obp!M233="","",obp!M233)</f>
        <v>0</v>
      </c>
      <c r="N275" s="1051" t="str">
        <f t="shared" si="109"/>
        <v/>
      </c>
      <c r="O275" s="1051"/>
      <c r="P275" s="1125" t="str">
        <f t="shared" si="110"/>
        <v/>
      </c>
      <c r="Q275" s="472"/>
      <c r="R275" s="923" t="str">
        <f t="shared" si="121"/>
        <v/>
      </c>
      <c r="S275" s="923" t="str">
        <f t="shared" si="111"/>
        <v/>
      </c>
      <c r="T275" s="925" t="str">
        <f t="shared" si="112"/>
        <v/>
      </c>
      <c r="U275" s="545"/>
      <c r="V275" s="1103"/>
      <c r="W275" s="1103"/>
      <c r="X275" s="1060"/>
      <c r="Y275" s="1095" t="e">
        <f t="shared" si="113"/>
        <v>#VALUE!</v>
      </c>
      <c r="Z275" s="1094">
        <f>tab!B$50</f>
        <v>0.6</v>
      </c>
      <c r="AA275" s="1126" t="e">
        <f t="shared" si="114"/>
        <v>#VALUE!</v>
      </c>
      <c r="AB275" s="1126" t="e">
        <f t="shared" si="115"/>
        <v>#VALUE!</v>
      </c>
      <c r="AC275" s="1126" t="e">
        <f t="shared" si="116"/>
        <v>#VALUE!</v>
      </c>
      <c r="AD275" s="1128" t="e">
        <f t="shared" si="117"/>
        <v>#VALUE!</v>
      </c>
      <c r="AE275" s="1128">
        <f t="shared" si="118"/>
        <v>0</v>
      </c>
      <c r="AF275" s="1096">
        <f>IF(H275&gt;8,tab!$B$51,tab!$B$54)</f>
        <v>0.5</v>
      </c>
      <c r="AG275" s="1097">
        <f t="shared" si="119"/>
        <v>0</v>
      </c>
      <c r="AH275" s="1093">
        <f t="shared" si="120"/>
        <v>0</v>
      </c>
    </row>
    <row r="276" spans="3:34" x14ac:dyDescent="0.3">
      <c r="C276" s="114"/>
      <c r="D276" s="353" t="str">
        <f>IF(obp!D234=0,"",obp!D234)</f>
        <v/>
      </c>
      <c r="E276" s="388" t="str">
        <f>IF(obp!E234=0,"-",obp!E234)</f>
        <v/>
      </c>
      <c r="F276" s="684" t="str">
        <f>IF(obp!F234="","",obp!F234+1)</f>
        <v/>
      </c>
      <c r="G276" s="710" t="str">
        <f>IF(obp!G234="","",obp!G234)</f>
        <v/>
      </c>
      <c r="H276" s="684" t="str">
        <f>IF(obp!H234=0,"",obp!H234)</f>
        <v/>
      </c>
      <c r="I276" s="389" t="str">
        <f>IF(J276="","",(IF(obp!I234+1&gt;LOOKUP(H276,schaal2019,regels2019),obp!I234,obp!I234+1)))</f>
        <v/>
      </c>
      <c r="J276" s="711" t="str">
        <f>IF(obp!J234="","",obp!J234)</f>
        <v/>
      </c>
      <c r="K276" s="370"/>
      <c r="L276" s="1049">
        <f>IF(obp!L234="","",obp!L234)</f>
        <v>0</v>
      </c>
      <c r="M276" s="1049">
        <f>IF(obp!M234="","",obp!M234)</f>
        <v>0</v>
      </c>
      <c r="N276" s="1051" t="str">
        <f t="shared" si="109"/>
        <v/>
      </c>
      <c r="O276" s="1051"/>
      <c r="P276" s="1125" t="str">
        <f t="shared" si="110"/>
        <v/>
      </c>
      <c r="Q276" s="472"/>
      <c r="R276" s="923" t="str">
        <f t="shared" si="121"/>
        <v/>
      </c>
      <c r="S276" s="923" t="str">
        <f t="shared" si="111"/>
        <v/>
      </c>
      <c r="T276" s="925" t="str">
        <f t="shared" si="112"/>
        <v/>
      </c>
      <c r="U276" s="545"/>
      <c r="V276" s="1103"/>
      <c r="W276" s="1103"/>
      <c r="X276" s="1060"/>
      <c r="Y276" s="1095" t="e">
        <f t="shared" si="113"/>
        <v>#VALUE!</v>
      </c>
      <c r="Z276" s="1094">
        <f>tab!B$50</f>
        <v>0.6</v>
      </c>
      <c r="AA276" s="1126" t="e">
        <f t="shared" si="114"/>
        <v>#VALUE!</v>
      </c>
      <c r="AB276" s="1126" t="e">
        <f t="shared" si="115"/>
        <v>#VALUE!</v>
      </c>
      <c r="AC276" s="1126" t="e">
        <f t="shared" si="116"/>
        <v>#VALUE!</v>
      </c>
      <c r="AD276" s="1128" t="e">
        <f t="shared" si="117"/>
        <v>#VALUE!</v>
      </c>
      <c r="AE276" s="1128">
        <f t="shared" si="118"/>
        <v>0</v>
      </c>
      <c r="AF276" s="1096">
        <f>IF(H276&gt;8,tab!$B$51,tab!$B$54)</f>
        <v>0.5</v>
      </c>
      <c r="AG276" s="1097">
        <f t="shared" si="119"/>
        <v>0</v>
      </c>
      <c r="AH276" s="1093">
        <f t="shared" si="120"/>
        <v>0</v>
      </c>
    </row>
    <row r="277" spans="3:34" x14ac:dyDescent="0.3">
      <c r="C277" s="114"/>
      <c r="D277" s="353" t="str">
        <f>IF(obp!D235=0,"",obp!D235)</f>
        <v/>
      </c>
      <c r="E277" s="388" t="str">
        <f>IF(obp!E235=0,"-",obp!E235)</f>
        <v/>
      </c>
      <c r="F277" s="684" t="str">
        <f>IF(obp!F235="","",obp!F235+1)</f>
        <v/>
      </c>
      <c r="G277" s="710" t="str">
        <f>IF(obp!G235="","",obp!G235)</f>
        <v/>
      </c>
      <c r="H277" s="684" t="str">
        <f>IF(obp!H235=0,"",obp!H235)</f>
        <v/>
      </c>
      <c r="I277" s="389" t="str">
        <f>IF(J277="","",(IF(obp!I235+1&gt;LOOKUP(H277,schaal2019,regels2019),obp!I235,obp!I235+1)))</f>
        <v/>
      </c>
      <c r="J277" s="711" t="str">
        <f>IF(obp!J235="","",obp!J235)</f>
        <v/>
      </c>
      <c r="K277" s="370"/>
      <c r="L277" s="1049">
        <f>IF(obp!L235="","",obp!L235)</f>
        <v>0</v>
      </c>
      <c r="M277" s="1049">
        <f>IF(obp!M235="","",obp!M235)</f>
        <v>0</v>
      </c>
      <c r="N277" s="1051" t="str">
        <f t="shared" si="109"/>
        <v/>
      </c>
      <c r="O277" s="1051"/>
      <c r="P277" s="1125" t="str">
        <f t="shared" si="110"/>
        <v/>
      </c>
      <c r="Q277" s="472"/>
      <c r="R277" s="923" t="str">
        <f t="shared" si="121"/>
        <v/>
      </c>
      <c r="S277" s="923" t="str">
        <f t="shared" si="111"/>
        <v/>
      </c>
      <c r="T277" s="925" t="str">
        <f t="shared" si="112"/>
        <v/>
      </c>
      <c r="U277" s="545"/>
      <c r="V277" s="1103"/>
      <c r="W277" s="1103"/>
      <c r="X277" s="1060"/>
      <c r="Y277" s="1095" t="e">
        <f t="shared" si="113"/>
        <v>#VALUE!</v>
      </c>
      <c r="Z277" s="1094">
        <f>tab!B$50</f>
        <v>0.6</v>
      </c>
      <c r="AA277" s="1126" t="e">
        <f t="shared" si="114"/>
        <v>#VALUE!</v>
      </c>
      <c r="AB277" s="1126" t="e">
        <f t="shared" si="115"/>
        <v>#VALUE!</v>
      </c>
      <c r="AC277" s="1126" t="e">
        <f t="shared" si="116"/>
        <v>#VALUE!</v>
      </c>
      <c r="AD277" s="1128" t="e">
        <f t="shared" si="117"/>
        <v>#VALUE!</v>
      </c>
      <c r="AE277" s="1128">
        <f t="shared" si="118"/>
        <v>0</v>
      </c>
      <c r="AF277" s="1096">
        <f>IF(H277&gt;8,tab!$B$51,tab!$B$54)</f>
        <v>0.5</v>
      </c>
      <c r="AG277" s="1097">
        <f t="shared" si="119"/>
        <v>0</v>
      </c>
      <c r="AH277" s="1093">
        <f t="shared" si="120"/>
        <v>0</v>
      </c>
    </row>
    <row r="278" spans="3:34" x14ac:dyDescent="0.3">
      <c r="C278" s="114"/>
      <c r="D278" s="353" t="str">
        <f>IF(obp!D236=0,"",obp!D236)</f>
        <v/>
      </c>
      <c r="E278" s="388" t="str">
        <f>IF(obp!E236=0,"-",obp!E236)</f>
        <v/>
      </c>
      <c r="F278" s="684" t="str">
        <f>IF(obp!F236="","",obp!F236+1)</f>
        <v/>
      </c>
      <c r="G278" s="710" t="str">
        <f>IF(obp!G236="","",obp!G236)</f>
        <v/>
      </c>
      <c r="H278" s="684" t="str">
        <f>IF(obp!H236=0,"",obp!H236)</f>
        <v/>
      </c>
      <c r="I278" s="389" t="str">
        <f>IF(J278="","",(IF(obp!I236+1&gt;LOOKUP(H278,schaal2019,regels2019),obp!I236,obp!I236+1)))</f>
        <v/>
      </c>
      <c r="J278" s="711" t="str">
        <f>IF(obp!J236="","",obp!J236)</f>
        <v/>
      </c>
      <c r="K278" s="370"/>
      <c r="L278" s="1049">
        <f>IF(obp!L236="","",obp!L236)</f>
        <v>0</v>
      </c>
      <c r="M278" s="1049">
        <f>IF(obp!M236="","",obp!M236)</f>
        <v>0</v>
      </c>
      <c r="N278" s="1051" t="str">
        <f t="shared" si="109"/>
        <v/>
      </c>
      <c r="O278" s="1051"/>
      <c r="P278" s="1125" t="str">
        <f t="shared" si="110"/>
        <v/>
      </c>
      <c r="Q278" s="472"/>
      <c r="R278" s="923" t="str">
        <f t="shared" si="121"/>
        <v/>
      </c>
      <c r="S278" s="923" t="str">
        <f t="shared" si="111"/>
        <v/>
      </c>
      <c r="T278" s="925" t="str">
        <f t="shared" si="112"/>
        <v/>
      </c>
      <c r="U278" s="545"/>
      <c r="V278" s="1103"/>
      <c r="W278" s="1103"/>
      <c r="X278" s="1060"/>
      <c r="Y278" s="1095" t="e">
        <f t="shared" si="113"/>
        <v>#VALUE!</v>
      </c>
      <c r="Z278" s="1094">
        <f>tab!B$50</f>
        <v>0.6</v>
      </c>
      <c r="AA278" s="1126" t="e">
        <f t="shared" si="114"/>
        <v>#VALUE!</v>
      </c>
      <c r="AB278" s="1126" t="e">
        <f t="shared" si="115"/>
        <v>#VALUE!</v>
      </c>
      <c r="AC278" s="1126" t="e">
        <f t="shared" si="116"/>
        <v>#VALUE!</v>
      </c>
      <c r="AD278" s="1128" t="e">
        <f t="shared" si="117"/>
        <v>#VALUE!</v>
      </c>
      <c r="AE278" s="1128">
        <f t="shared" si="118"/>
        <v>0</v>
      </c>
      <c r="AF278" s="1096">
        <f>IF(H278&gt;8,tab!$B$51,tab!$B$54)</f>
        <v>0.5</v>
      </c>
      <c r="AG278" s="1097">
        <f t="shared" si="119"/>
        <v>0</v>
      </c>
      <c r="AH278" s="1093">
        <f t="shared" si="120"/>
        <v>0</v>
      </c>
    </row>
    <row r="279" spans="3:34" x14ac:dyDescent="0.3">
      <c r="C279" s="114"/>
      <c r="D279" s="353" t="str">
        <f>IF(obp!D237=0,"",obp!D237)</f>
        <v/>
      </c>
      <c r="E279" s="388" t="str">
        <f>IF(obp!E237=0,"-",obp!E237)</f>
        <v/>
      </c>
      <c r="F279" s="684" t="str">
        <f>IF(obp!F237="","",obp!F237+1)</f>
        <v/>
      </c>
      <c r="G279" s="710" t="str">
        <f>IF(obp!G237="","",obp!G237)</f>
        <v/>
      </c>
      <c r="H279" s="684" t="str">
        <f>IF(obp!H237=0,"",obp!H237)</f>
        <v/>
      </c>
      <c r="I279" s="389" t="str">
        <f>IF(J279="","",(IF(obp!I237+1&gt;LOOKUP(H279,schaal2019,regels2019),obp!I237,obp!I237+1)))</f>
        <v/>
      </c>
      <c r="J279" s="711" t="str">
        <f>IF(obp!J237="","",obp!J237)</f>
        <v/>
      </c>
      <c r="K279" s="370"/>
      <c r="L279" s="1049">
        <f>IF(obp!L237="","",obp!L237)</f>
        <v>0</v>
      </c>
      <c r="M279" s="1049">
        <f>IF(obp!M237="","",obp!M237)</f>
        <v>0</v>
      </c>
      <c r="N279" s="1051" t="str">
        <f t="shared" si="109"/>
        <v/>
      </c>
      <c r="O279" s="1051"/>
      <c r="P279" s="1125" t="str">
        <f t="shared" si="110"/>
        <v/>
      </c>
      <c r="Q279" s="472"/>
      <c r="R279" s="923" t="str">
        <f t="shared" si="121"/>
        <v/>
      </c>
      <c r="S279" s="923" t="str">
        <f t="shared" si="111"/>
        <v/>
      </c>
      <c r="T279" s="925" t="str">
        <f t="shared" si="112"/>
        <v/>
      </c>
      <c r="U279" s="545"/>
      <c r="V279" s="1103"/>
      <c r="W279" s="1103"/>
      <c r="X279" s="1060"/>
      <c r="Y279" s="1095" t="e">
        <f t="shared" si="113"/>
        <v>#VALUE!</v>
      </c>
      <c r="Z279" s="1094">
        <f>tab!B$50</f>
        <v>0.6</v>
      </c>
      <c r="AA279" s="1126" t="e">
        <f t="shared" si="114"/>
        <v>#VALUE!</v>
      </c>
      <c r="AB279" s="1126" t="e">
        <f t="shared" si="115"/>
        <v>#VALUE!</v>
      </c>
      <c r="AC279" s="1126" t="e">
        <f t="shared" si="116"/>
        <v>#VALUE!</v>
      </c>
      <c r="AD279" s="1128" t="e">
        <f t="shared" si="117"/>
        <v>#VALUE!</v>
      </c>
      <c r="AE279" s="1128">
        <f t="shared" si="118"/>
        <v>0</v>
      </c>
      <c r="AF279" s="1096">
        <f>IF(H279&gt;8,tab!$B$51,tab!$B$54)</f>
        <v>0.5</v>
      </c>
      <c r="AG279" s="1097">
        <f t="shared" si="119"/>
        <v>0</v>
      </c>
      <c r="AH279" s="1093">
        <f t="shared" si="120"/>
        <v>0</v>
      </c>
    </row>
    <row r="280" spans="3:34" x14ac:dyDescent="0.3">
      <c r="C280" s="114"/>
      <c r="D280" s="353" t="str">
        <f>IF(obp!D238=0,"",obp!D238)</f>
        <v/>
      </c>
      <c r="E280" s="388" t="str">
        <f>IF(obp!E238=0,"-",obp!E238)</f>
        <v/>
      </c>
      <c r="F280" s="684" t="str">
        <f>IF(obp!F238="","",obp!F238+1)</f>
        <v/>
      </c>
      <c r="G280" s="710" t="str">
        <f>IF(obp!G238="","",obp!G238)</f>
        <v/>
      </c>
      <c r="H280" s="684" t="str">
        <f>IF(obp!H238=0,"",obp!H238)</f>
        <v/>
      </c>
      <c r="I280" s="389" t="str">
        <f>IF(J280="","",(IF(obp!I238+1&gt;LOOKUP(H280,schaal2019,regels2019),obp!I238,obp!I238+1)))</f>
        <v/>
      </c>
      <c r="J280" s="711" t="str">
        <f>IF(obp!J238="","",obp!J238)</f>
        <v/>
      </c>
      <c r="K280" s="370"/>
      <c r="L280" s="1049">
        <f>IF(obp!L238="","",obp!L238)</f>
        <v>0</v>
      </c>
      <c r="M280" s="1049">
        <f>IF(obp!M238="","",obp!M238)</f>
        <v>0</v>
      </c>
      <c r="N280" s="1051" t="str">
        <f t="shared" si="109"/>
        <v/>
      </c>
      <c r="O280" s="1051"/>
      <c r="P280" s="1125" t="str">
        <f t="shared" si="110"/>
        <v/>
      </c>
      <c r="Q280" s="472"/>
      <c r="R280" s="923" t="str">
        <f t="shared" si="121"/>
        <v/>
      </c>
      <c r="S280" s="923" t="str">
        <f t="shared" si="111"/>
        <v/>
      </c>
      <c r="T280" s="925" t="str">
        <f t="shared" si="112"/>
        <v/>
      </c>
      <c r="U280" s="545"/>
      <c r="V280" s="1103"/>
      <c r="W280" s="1103"/>
      <c r="X280" s="1060"/>
      <c r="Y280" s="1095" t="e">
        <f t="shared" si="113"/>
        <v>#VALUE!</v>
      </c>
      <c r="Z280" s="1094">
        <f>tab!B$50</f>
        <v>0.6</v>
      </c>
      <c r="AA280" s="1126" t="e">
        <f t="shared" si="114"/>
        <v>#VALUE!</v>
      </c>
      <c r="AB280" s="1126" t="e">
        <f t="shared" si="115"/>
        <v>#VALUE!</v>
      </c>
      <c r="AC280" s="1126" t="e">
        <f t="shared" si="116"/>
        <v>#VALUE!</v>
      </c>
      <c r="AD280" s="1128" t="e">
        <f t="shared" si="117"/>
        <v>#VALUE!</v>
      </c>
      <c r="AE280" s="1128">
        <f t="shared" si="118"/>
        <v>0</v>
      </c>
      <c r="AF280" s="1096">
        <f>IF(H280&gt;8,tab!$B$51,tab!$B$54)</f>
        <v>0.5</v>
      </c>
      <c r="AG280" s="1097">
        <f t="shared" si="119"/>
        <v>0</v>
      </c>
      <c r="AH280" s="1093">
        <f t="shared" si="120"/>
        <v>0</v>
      </c>
    </row>
    <row r="281" spans="3:34" x14ac:dyDescent="0.3">
      <c r="C281" s="114"/>
      <c r="D281" s="353" t="str">
        <f>IF(obp!D239=0,"",obp!D239)</f>
        <v/>
      </c>
      <c r="E281" s="388" t="str">
        <f>IF(obp!E239=0,"-",obp!E239)</f>
        <v/>
      </c>
      <c r="F281" s="684" t="str">
        <f>IF(obp!F239="","",obp!F239+1)</f>
        <v/>
      </c>
      <c r="G281" s="710" t="str">
        <f>IF(obp!G239="","",obp!G239)</f>
        <v/>
      </c>
      <c r="H281" s="684" t="str">
        <f>IF(obp!H239=0,"",obp!H239)</f>
        <v/>
      </c>
      <c r="I281" s="389" t="str">
        <f>IF(J281="","",(IF(obp!I239+1&gt;LOOKUP(H281,schaal2019,regels2019),obp!I239,obp!I239+1)))</f>
        <v/>
      </c>
      <c r="J281" s="711" t="str">
        <f>IF(obp!J239="","",obp!J239)</f>
        <v/>
      </c>
      <c r="K281" s="370"/>
      <c r="L281" s="1049">
        <f>IF(obp!L239="","",obp!L239)</f>
        <v>0</v>
      </c>
      <c r="M281" s="1049">
        <f>IF(obp!M239="","",obp!M239)</f>
        <v>0</v>
      </c>
      <c r="N281" s="1051" t="str">
        <f t="shared" si="109"/>
        <v/>
      </c>
      <c r="O281" s="1051"/>
      <c r="P281" s="1125" t="str">
        <f t="shared" si="110"/>
        <v/>
      </c>
      <c r="Q281" s="472"/>
      <c r="R281" s="923" t="str">
        <f t="shared" si="121"/>
        <v/>
      </c>
      <c r="S281" s="923" t="str">
        <f t="shared" si="111"/>
        <v/>
      </c>
      <c r="T281" s="925" t="str">
        <f t="shared" si="112"/>
        <v/>
      </c>
      <c r="U281" s="545"/>
      <c r="V281" s="1103"/>
      <c r="W281" s="1103"/>
      <c r="X281" s="1060"/>
      <c r="Y281" s="1095" t="e">
        <f t="shared" si="113"/>
        <v>#VALUE!</v>
      </c>
      <c r="Z281" s="1094">
        <f>tab!B$50</f>
        <v>0.6</v>
      </c>
      <c r="AA281" s="1126" t="e">
        <f t="shared" si="114"/>
        <v>#VALUE!</v>
      </c>
      <c r="AB281" s="1126" t="e">
        <f t="shared" si="115"/>
        <v>#VALUE!</v>
      </c>
      <c r="AC281" s="1126" t="e">
        <f t="shared" si="116"/>
        <v>#VALUE!</v>
      </c>
      <c r="AD281" s="1128" t="e">
        <f t="shared" si="117"/>
        <v>#VALUE!</v>
      </c>
      <c r="AE281" s="1128">
        <f t="shared" si="118"/>
        <v>0</v>
      </c>
      <c r="AF281" s="1096">
        <f>IF(H281&gt;8,tab!$B$51,tab!$B$54)</f>
        <v>0.5</v>
      </c>
      <c r="AG281" s="1097">
        <f t="shared" si="119"/>
        <v>0</v>
      </c>
      <c r="AH281" s="1093">
        <f t="shared" si="120"/>
        <v>0</v>
      </c>
    </row>
    <row r="282" spans="3:34" x14ac:dyDescent="0.3">
      <c r="C282" s="114"/>
      <c r="D282" s="353" t="str">
        <f>IF(obp!D240=0,"",obp!D240)</f>
        <v/>
      </c>
      <c r="E282" s="388" t="str">
        <f>IF(obp!E240=0,"-",obp!E240)</f>
        <v/>
      </c>
      <c r="F282" s="684" t="str">
        <f>IF(obp!F240="","",obp!F240+1)</f>
        <v/>
      </c>
      <c r="G282" s="710" t="str">
        <f>IF(obp!G240="","",obp!G240)</f>
        <v/>
      </c>
      <c r="H282" s="684" t="str">
        <f>IF(obp!H240=0,"",obp!H240)</f>
        <v/>
      </c>
      <c r="I282" s="389" t="str">
        <f>IF(J282="","",(IF(obp!I240+1&gt;LOOKUP(H282,schaal2019,regels2019),obp!I240,obp!I240+1)))</f>
        <v/>
      </c>
      <c r="J282" s="711" t="str">
        <f>IF(obp!J240="","",obp!J240)</f>
        <v/>
      </c>
      <c r="K282" s="370"/>
      <c r="L282" s="1049">
        <f>IF(obp!L240="","",obp!L240)</f>
        <v>0</v>
      </c>
      <c r="M282" s="1049">
        <f>IF(obp!M240="","",obp!M240)</f>
        <v>0</v>
      </c>
      <c r="N282" s="1051" t="str">
        <f t="shared" si="109"/>
        <v/>
      </c>
      <c r="O282" s="1051"/>
      <c r="P282" s="1125" t="str">
        <f t="shared" si="110"/>
        <v/>
      </c>
      <c r="Q282" s="472"/>
      <c r="R282" s="923" t="str">
        <f t="shared" si="121"/>
        <v/>
      </c>
      <c r="S282" s="923" t="str">
        <f t="shared" si="111"/>
        <v/>
      </c>
      <c r="T282" s="925" t="str">
        <f t="shared" si="112"/>
        <v/>
      </c>
      <c r="U282" s="545"/>
      <c r="V282" s="1103"/>
      <c r="W282" s="1103"/>
      <c r="X282" s="1060"/>
      <c r="Y282" s="1095" t="e">
        <f t="shared" si="113"/>
        <v>#VALUE!</v>
      </c>
      <c r="Z282" s="1094">
        <f>tab!B$50</f>
        <v>0.6</v>
      </c>
      <c r="AA282" s="1126" t="e">
        <f t="shared" si="114"/>
        <v>#VALUE!</v>
      </c>
      <c r="AB282" s="1126" t="e">
        <f t="shared" si="115"/>
        <v>#VALUE!</v>
      </c>
      <c r="AC282" s="1126" t="e">
        <f t="shared" si="116"/>
        <v>#VALUE!</v>
      </c>
      <c r="AD282" s="1128" t="e">
        <f t="shared" si="117"/>
        <v>#VALUE!</v>
      </c>
      <c r="AE282" s="1128">
        <f t="shared" si="118"/>
        <v>0</v>
      </c>
      <c r="AF282" s="1096">
        <f>IF(H282&gt;8,tab!$B$51,tab!$B$54)</f>
        <v>0.5</v>
      </c>
      <c r="AG282" s="1097">
        <f t="shared" si="119"/>
        <v>0</v>
      </c>
      <c r="AH282" s="1093">
        <f t="shared" si="120"/>
        <v>0</v>
      </c>
    </row>
    <row r="283" spans="3:34" x14ac:dyDescent="0.3">
      <c r="C283" s="114"/>
      <c r="D283" s="353" t="str">
        <f>IF(obp!D241=0,"",obp!D241)</f>
        <v/>
      </c>
      <c r="E283" s="388" t="str">
        <f>IF(obp!E241=0,"-",obp!E241)</f>
        <v/>
      </c>
      <c r="F283" s="684" t="str">
        <f>IF(obp!F241="","",obp!F241+1)</f>
        <v/>
      </c>
      <c r="G283" s="710" t="str">
        <f>IF(obp!G241="","",obp!G241)</f>
        <v/>
      </c>
      <c r="H283" s="684" t="str">
        <f>IF(obp!H241=0,"",obp!H241)</f>
        <v/>
      </c>
      <c r="I283" s="389" t="str">
        <f>IF(J283="","",(IF(obp!I241+1&gt;LOOKUP(H283,schaal2019,regels2019),obp!I241,obp!I241+1)))</f>
        <v/>
      </c>
      <c r="J283" s="711" t="str">
        <f>IF(obp!J241="","",obp!J241)</f>
        <v/>
      </c>
      <c r="K283" s="370"/>
      <c r="L283" s="1049">
        <f>IF(obp!L241="","",obp!L241)</f>
        <v>0</v>
      </c>
      <c r="M283" s="1049">
        <f>IF(obp!M241="","",obp!M241)</f>
        <v>0</v>
      </c>
      <c r="N283" s="1051" t="str">
        <f t="shared" si="109"/>
        <v/>
      </c>
      <c r="O283" s="1051"/>
      <c r="P283" s="1125" t="str">
        <f t="shared" si="110"/>
        <v/>
      </c>
      <c r="Q283" s="472"/>
      <c r="R283" s="923" t="str">
        <f t="shared" si="121"/>
        <v/>
      </c>
      <c r="S283" s="923" t="str">
        <f t="shared" si="111"/>
        <v/>
      </c>
      <c r="T283" s="925" t="str">
        <f t="shared" si="112"/>
        <v/>
      </c>
      <c r="U283" s="545"/>
      <c r="V283" s="1103"/>
      <c r="W283" s="1103"/>
      <c r="X283" s="1060"/>
      <c r="Y283" s="1095" t="e">
        <f t="shared" si="113"/>
        <v>#VALUE!</v>
      </c>
      <c r="Z283" s="1094">
        <f>tab!B$50</f>
        <v>0.6</v>
      </c>
      <c r="AA283" s="1126" t="e">
        <f t="shared" si="114"/>
        <v>#VALUE!</v>
      </c>
      <c r="AB283" s="1126" t="e">
        <f t="shared" si="115"/>
        <v>#VALUE!</v>
      </c>
      <c r="AC283" s="1126" t="e">
        <f t="shared" si="116"/>
        <v>#VALUE!</v>
      </c>
      <c r="AD283" s="1128" t="e">
        <f t="shared" si="117"/>
        <v>#VALUE!</v>
      </c>
      <c r="AE283" s="1128">
        <f t="shared" si="118"/>
        <v>0</v>
      </c>
      <c r="AF283" s="1096">
        <f>IF(H283&gt;8,tab!$B$51,tab!$B$54)</f>
        <v>0.5</v>
      </c>
      <c r="AG283" s="1097">
        <f t="shared" si="119"/>
        <v>0</v>
      </c>
      <c r="AH283" s="1093">
        <f t="shared" si="120"/>
        <v>0</v>
      </c>
    </row>
    <row r="284" spans="3:34" x14ac:dyDescent="0.3">
      <c r="C284" s="114"/>
      <c r="D284" s="353" t="str">
        <f>IF(obp!D242=0,"",obp!D242)</f>
        <v/>
      </c>
      <c r="E284" s="388" t="str">
        <f>IF(obp!E242=0,"-",obp!E242)</f>
        <v/>
      </c>
      <c r="F284" s="684" t="str">
        <f>IF(obp!F242="","",obp!F242+1)</f>
        <v/>
      </c>
      <c r="G284" s="710" t="str">
        <f>IF(obp!G242="","",obp!G242)</f>
        <v/>
      </c>
      <c r="H284" s="684" t="str">
        <f>IF(obp!H242=0,"",obp!H242)</f>
        <v/>
      </c>
      <c r="I284" s="389" t="str">
        <f>IF(J284="","",(IF(obp!I242+1&gt;LOOKUP(H284,schaal2019,regels2019),obp!I242,obp!I242+1)))</f>
        <v/>
      </c>
      <c r="J284" s="711" t="str">
        <f>IF(obp!J242="","",obp!J242)</f>
        <v/>
      </c>
      <c r="K284" s="370"/>
      <c r="L284" s="1049">
        <f>IF(obp!L242="","",obp!L242)</f>
        <v>0</v>
      </c>
      <c r="M284" s="1049">
        <f>IF(obp!M242="","",obp!M242)</f>
        <v>0</v>
      </c>
      <c r="N284" s="1051" t="str">
        <f t="shared" si="109"/>
        <v/>
      </c>
      <c r="O284" s="1051"/>
      <c r="P284" s="1125" t="str">
        <f t="shared" si="110"/>
        <v/>
      </c>
      <c r="Q284" s="472"/>
      <c r="R284" s="923" t="str">
        <f t="shared" si="121"/>
        <v/>
      </c>
      <c r="S284" s="923" t="str">
        <f t="shared" si="111"/>
        <v/>
      </c>
      <c r="T284" s="925" t="str">
        <f t="shared" si="112"/>
        <v/>
      </c>
      <c r="U284" s="545"/>
      <c r="V284" s="1103"/>
      <c r="W284" s="1103"/>
      <c r="X284" s="1060"/>
      <c r="Y284" s="1095" t="e">
        <f t="shared" si="113"/>
        <v>#VALUE!</v>
      </c>
      <c r="Z284" s="1094">
        <f>tab!B$50</f>
        <v>0.6</v>
      </c>
      <c r="AA284" s="1126" t="e">
        <f t="shared" si="114"/>
        <v>#VALUE!</v>
      </c>
      <c r="AB284" s="1126" t="e">
        <f t="shared" si="115"/>
        <v>#VALUE!</v>
      </c>
      <c r="AC284" s="1126" t="e">
        <f t="shared" si="116"/>
        <v>#VALUE!</v>
      </c>
      <c r="AD284" s="1128" t="e">
        <f t="shared" si="117"/>
        <v>#VALUE!</v>
      </c>
      <c r="AE284" s="1128">
        <f t="shared" si="118"/>
        <v>0</v>
      </c>
      <c r="AF284" s="1096">
        <f>IF(H284&gt;8,tab!$B$51,tab!$B$54)</f>
        <v>0.5</v>
      </c>
      <c r="AG284" s="1097">
        <f t="shared" si="119"/>
        <v>0</v>
      </c>
      <c r="AH284" s="1093">
        <f t="shared" si="120"/>
        <v>0</v>
      </c>
    </row>
    <row r="285" spans="3:34" x14ac:dyDescent="0.3">
      <c r="C285" s="114"/>
      <c r="D285" s="353" t="str">
        <f>IF(obp!D243=0,"",obp!D243)</f>
        <v/>
      </c>
      <c r="E285" s="388" t="str">
        <f>IF(obp!E243=0,"-",obp!E243)</f>
        <v/>
      </c>
      <c r="F285" s="684" t="str">
        <f>IF(obp!F243="","",obp!F243+1)</f>
        <v/>
      </c>
      <c r="G285" s="710" t="str">
        <f>IF(obp!G243="","",obp!G243)</f>
        <v/>
      </c>
      <c r="H285" s="684" t="str">
        <f>IF(obp!H243=0,"",obp!H243)</f>
        <v/>
      </c>
      <c r="I285" s="389" t="str">
        <f>IF(J285="","",(IF(obp!I243+1&gt;LOOKUP(H285,schaal2019,regels2019),obp!I243,obp!I243+1)))</f>
        <v/>
      </c>
      <c r="J285" s="711" t="str">
        <f>IF(obp!J243="","",obp!J243)</f>
        <v/>
      </c>
      <c r="K285" s="370"/>
      <c r="L285" s="1049">
        <f>IF(obp!L243="","",obp!L243)</f>
        <v>0</v>
      </c>
      <c r="M285" s="1049">
        <f>IF(obp!M243="","",obp!M243)</f>
        <v>0</v>
      </c>
      <c r="N285" s="1051" t="str">
        <f t="shared" si="109"/>
        <v/>
      </c>
      <c r="O285" s="1051"/>
      <c r="P285" s="1125" t="str">
        <f t="shared" si="110"/>
        <v/>
      </c>
      <c r="Q285" s="472"/>
      <c r="R285" s="923" t="str">
        <f t="shared" si="121"/>
        <v/>
      </c>
      <c r="S285" s="923" t="str">
        <f t="shared" si="111"/>
        <v/>
      </c>
      <c r="T285" s="925" t="str">
        <f t="shared" si="112"/>
        <v/>
      </c>
      <c r="U285" s="545"/>
      <c r="V285" s="1103"/>
      <c r="W285" s="1103"/>
      <c r="X285" s="1060"/>
      <c r="Y285" s="1095" t="e">
        <f t="shared" si="113"/>
        <v>#VALUE!</v>
      </c>
      <c r="Z285" s="1094">
        <f>tab!B$50</f>
        <v>0.6</v>
      </c>
      <c r="AA285" s="1126" t="e">
        <f t="shared" si="114"/>
        <v>#VALUE!</v>
      </c>
      <c r="AB285" s="1126" t="e">
        <f t="shared" si="115"/>
        <v>#VALUE!</v>
      </c>
      <c r="AC285" s="1126" t="e">
        <f t="shared" si="116"/>
        <v>#VALUE!</v>
      </c>
      <c r="AD285" s="1128" t="e">
        <f t="shared" si="117"/>
        <v>#VALUE!</v>
      </c>
      <c r="AE285" s="1128">
        <f t="shared" si="118"/>
        <v>0</v>
      </c>
      <c r="AF285" s="1096">
        <f>IF(H285&gt;8,tab!$B$51,tab!$B$54)</f>
        <v>0.5</v>
      </c>
      <c r="AG285" s="1097">
        <f t="shared" si="119"/>
        <v>0</v>
      </c>
      <c r="AH285" s="1093">
        <f t="shared" si="120"/>
        <v>0</v>
      </c>
    </row>
    <row r="286" spans="3:34" x14ac:dyDescent="0.3">
      <c r="C286" s="114"/>
      <c r="D286" s="353" t="str">
        <f>IF(obp!D244=0,"",obp!D244)</f>
        <v/>
      </c>
      <c r="E286" s="388" t="str">
        <f>IF(obp!E244=0,"-",obp!E244)</f>
        <v/>
      </c>
      <c r="F286" s="684" t="str">
        <f>IF(obp!F244="","",obp!F244+1)</f>
        <v/>
      </c>
      <c r="G286" s="710" t="str">
        <f>IF(obp!G244="","",obp!G244)</f>
        <v/>
      </c>
      <c r="H286" s="684" t="str">
        <f>IF(obp!H244=0,"",obp!H244)</f>
        <v/>
      </c>
      <c r="I286" s="389" t="str">
        <f>IF(J286="","",(IF(obp!I244+1&gt;LOOKUP(H286,schaal2019,regels2019),obp!I244,obp!I244+1)))</f>
        <v/>
      </c>
      <c r="J286" s="711" t="str">
        <f>IF(obp!J244="","",obp!J244)</f>
        <v/>
      </c>
      <c r="K286" s="370"/>
      <c r="L286" s="1049">
        <f>IF(obp!L244="","",obp!L244)</f>
        <v>0</v>
      </c>
      <c r="M286" s="1049">
        <f>IF(obp!M244="","",obp!M244)</f>
        <v>0</v>
      </c>
      <c r="N286" s="1051" t="str">
        <f t="shared" si="109"/>
        <v/>
      </c>
      <c r="O286" s="1051"/>
      <c r="P286" s="1125" t="str">
        <f t="shared" si="110"/>
        <v/>
      </c>
      <c r="Q286" s="472"/>
      <c r="R286" s="923" t="str">
        <f t="shared" si="121"/>
        <v/>
      </c>
      <c r="S286" s="923" t="str">
        <f t="shared" si="111"/>
        <v/>
      </c>
      <c r="T286" s="925" t="str">
        <f t="shared" si="112"/>
        <v/>
      </c>
      <c r="U286" s="545"/>
      <c r="V286" s="1103"/>
      <c r="W286" s="1103"/>
      <c r="X286" s="1060"/>
      <c r="Y286" s="1095" t="e">
        <f t="shared" si="113"/>
        <v>#VALUE!</v>
      </c>
      <c r="Z286" s="1094">
        <f>tab!B$50</f>
        <v>0.6</v>
      </c>
      <c r="AA286" s="1126" t="e">
        <f t="shared" si="114"/>
        <v>#VALUE!</v>
      </c>
      <c r="AB286" s="1126" t="e">
        <f t="shared" si="115"/>
        <v>#VALUE!</v>
      </c>
      <c r="AC286" s="1126" t="e">
        <f t="shared" si="116"/>
        <v>#VALUE!</v>
      </c>
      <c r="AD286" s="1128" t="e">
        <f t="shared" si="117"/>
        <v>#VALUE!</v>
      </c>
      <c r="AE286" s="1128">
        <f t="shared" si="118"/>
        <v>0</v>
      </c>
      <c r="AF286" s="1096">
        <f>IF(H286&gt;8,tab!$B$51,tab!$B$54)</f>
        <v>0.5</v>
      </c>
      <c r="AG286" s="1097">
        <f t="shared" si="119"/>
        <v>0</v>
      </c>
      <c r="AH286" s="1093">
        <f t="shared" si="120"/>
        <v>0</v>
      </c>
    </row>
    <row r="287" spans="3:34" x14ac:dyDescent="0.3">
      <c r="C287" s="114"/>
      <c r="D287" s="353" t="str">
        <f>IF(obp!D245=0,"",obp!D245)</f>
        <v/>
      </c>
      <c r="E287" s="388" t="str">
        <f>IF(obp!E245=0,"-",obp!E245)</f>
        <v/>
      </c>
      <c r="F287" s="684" t="str">
        <f>IF(obp!F245="","",obp!F245+1)</f>
        <v/>
      </c>
      <c r="G287" s="710" t="str">
        <f>IF(obp!G245="","",obp!G245)</f>
        <v/>
      </c>
      <c r="H287" s="684" t="str">
        <f>IF(obp!H245=0,"",obp!H245)</f>
        <v/>
      </c>
      <c r="I287" s="389" t="str">
        <f>IF(J287="","",(IF(obp!I245+1&gt;LOOKUP(H287,schaal2019,regels2019),obp!I245,obp!I245+1)))</f>
        <v/>
      </c>
      <c r="J287" s="711" t="str">
        <f>IF(obp!J245="","",obp!J245)</f>
        <v/>
      </c>
      <c r="K287" s="370"/>
      <c r="L287" s="1049">
        <f>IF(obp!L245="","",obp!L245)</f>
        <v>0</v>
      </c>
      <c r="M287" s="1049">
        <f>IF(obp!M245="","",obp!M245)</f>
        <v>0</v>
      </c>
      <c r="N287" s="1051" t="str">
        <f t="shared" si="109"/>
        <v/>
      </c>
      <c r="O287" s="1051"/>
      <c r="P287" s="1125" t="str">
        <f t="shared" si="110"/>
        <v/>
      </c>
      <c r="Q287" s="472"/>
      <c r="R287" s="923" t="str">
        <f t="shared" si="121"/>
        <v/>
      </c>
      <c r="S287" s="923" t="str">
        <f t="shared" si="111"/>
        <v/>
      </c>
      <c r="T287" s="925" t="str">
        <f t="shared" si="112"/>
        <v/>
      </c>
      <c r="U287" s="545"/>
      <c r="V287" s="1103"/>
      <c r="W287" s="1103"/>
      <c r="X287" s="1060"/>
      <c r="Y287" s="1095" t="e">
        <f t="shared" si="113"/>
        <v>#VALUE!</v>
      </c>
      <c r="Z287" s="1094">
        <f>tab!B$50</f>
        <v>0.6</v>
      </c>
      <c r="AA287" s="1126" t="e">
        <f t="shared" si="114"/>
        <v>#VALUE!</v>
      </c>
      <c r="AB287" s="1126" t="e">
        <f t="shared" si="115"/>
        <v>#VALUE!</v>
      </c>
      <c r="AC287" s="1126" t="e">
        <f t="shared" si="116"/>
        <v>#VALUE!</v>
      </c>
      <c r="AD287" s="1128" t="e">
        <f t="shared" si="117"/>
        <v>#VALUE!</v>
      </c>
      <c r="AE287" s="1128">
        <f t="shared" si="118"/>
        <v>0</v>
      </c>
      <c r="AF287" s="1096">
        <f>IF(H287&gt;8,tab!$B$51,tab!$B$54)</f>
        <v>0.5</v>
      </c>
      <c r="AG287" s="1097">
        <f t="shared" si="119"/>
        <v>0</v>
      </c>
      <c r="AH287" s="1093">
        <f t="shared" si="120"/>
        <v>0</v>
      </c>
    </row>
    <row r="288" spans="3:34" x14ac:dyDescent="0.3">
      <c r="C288" s="114"/>
      <c r="D288" s="353" t="str">
        <f>IF(obp!D246=0,"",obp!D246)</f>
        <v/>
      </c>
      <c r="E288" s="388" t="str">
        <f>IF(obp!E246=0,"-",obp!E246)</f>
        <v/>
      </c>
      <c r="F288" s="105" t="str">
        <f>IF(obp!F246="","",obp!F246+1)</f>
        <v/>
      </c>
      <c r="G288" s="354" t="str">
        <f>IF(obp!G246="","",obp!G246)</f>
        <v/>
      </c>
      <c r="H288" s="684" t="str">
        <f>IF(obp!H246=0,"",obp!H246)</f>
        <v/>
      </c>
      <c r="I288" s="389" t="str">
        <f>IF(J288="","",(IF(obp!I246+1&gt;LOOKUP(H288,schaal2019,regels2019),obp!I246,obp!I246+1)))</f>
        <v/>
      </c>
      <c r="J288" s="356" t="str">
        <f>IF(obp!J246="","",obp!J246)</f>
        <v/>
      </c>
      <c r="K288" s="370"/>
      <c r="L288" s="1049">
        <f>IF(obp!L246="","",obp!L246)</f>
        <v>0</v>
      </c>
      <c r="M288" s="1049">
        <f>IF(obp!M246="","",obp!M246)</f>
        <v>0</v>
      </c>
      <c r="N288" s="1051" t="str">
        <f t="shared" si="109"/>
        <v/>
      </c>
      <c r="O288" s="1051"/>
      <c r="P288" s="1125" t="str">
        <f t="shared" si="110"/>
        <v/>
      </c>
      <c r="Q288" s="472"/>
      <c r="R288" s="923" t="str">
        <f t="shared" si="121"/>
        <v/>
      </c>
      <c r="S288" s="923" t="str">
        <f t="shared" si="111"/>
        <v/>
      </c>
      <c r="T288" s="925" t="str">
        <f t="shared" si="112"/>
        <v/>
      </c>
      <c r="U288" s="545"/>
      <c r="V288" s="1103"/>
      <c r="W288" s="1103"/>
      <c r="X288" s="1060"/>
      <c r="Y288" s="1095" t="e">
        <f t="shared" si="113"/>
        <v>#VALUE!</v>
      </c>
      <c r="Z288" s="1094">
        <f>tab!B$50</f>
        <v>0.6</v>
      </c>
      <c r="AA288" s="1126" t="e">
        <f t="shared" si="114"/>
        <v>#VALUE!</v>
      </c>
      <c r="AB288" s="1126" t="e">
        <f t="shared" si="115"/>
        <v>#VALUE!</v>
      </c>
      <c r="AC288" s="1126" t="e">
        <f t="shared" si="116"/>
        <v>#VALUE!</v>
      </c>
      <c r="AD288" s="1128" t="e">
        <f t="shared" si="117"/>
        <v>#VALUE!</v>
      </c>
      <c r="AE288" s="1128">
        <f t="shared" si="118"/>
        <v>0</v>
      </c>
      <c r="AF288" s="1096">
        <f>IF(H288&gt;8,tab!$B$51,tab!$B$54)</f>
        <v>0.5</v>
      </c>
      <c r="AG288" s="1097">
        <f t="shared" si="119"/>
        <v>0</v>
      </c>
      <c r="AH288" s="1093">
        <f t="shared" si="120"/>
        <v>0</v>
      </c>
    </row>
    <row r="289" spans="3:34" x14ac:dyDescent="0.3">
      <c r="C289" s="114"/>
      <c r="D289" s="353" t="str">
        <f>IF(obp!D247=0,"",obp!D247)</f>
        <v/>
      </c>
      <c r="E289" s="388" t="str">
        <f>IF(obp!E247=0,"-",obp!E247)</f>
        <v/>
      </c>
      <c r="F289" s="105" t="str">
        <f>IF(obp!F247="","",obp!F247+1)</f>
        <v/>
      </c>
      <c r="G289" s="354" t="str">
        <f>IF(obp!G247="","",obp!G247)</f>
        <v/>
      </c>
      <c r="H289" s="684" t="str">
        <f>IF(obp!H247=0,"",obp!H247)</f>
        <v/>
      </c>
      <c r="I289" s="389" t="str">
        <f>IF(J289="","",(IF(obp!I247+1&gt;LOOKUP(H289,schaal2019,regels2019),obp!I247,obp!I247+1)))</f>
        <v/>
      </c>
      <c r="J289" s="356" t="str">
        <f>IF(obp!J247="","",obp!J247)</f>
        <v/>
      </c>
      <c r="K289" s="370"/>
      <c r="L289" s="1049">
        <f>IF(obp!L247="","",obp!L247)</f>
        <v>0</v>
      </c>
      <c r="M289" s="1049">
        <f>IF(obp!M247="","",obp!M247)</f>
        <v>0</v>
      </c>
      <c r="N289" s="1051" t="str">
        <f t="shared" si="109"/>
        <v/>
      </c>
      <c r="O289" s="1051"/>
      <c r="P289" s="1125" t="str">
        <f t="shared" si="110"/>
        <v/>
      </c>
      <c r="Q289" s="472"/>
      <c r="R289" s="923" t="str">
        <f t="shared" si="121"/>
        <v/>
      </c>
      <c r="S289" s="923" t="str">
        <f t="shared" si="111"/>
        <v/>
      </c>
      <c r="T289" s="925" t="str">
        <f t="shared" si="112"/>
        <v/>
      </c>
      <c r="U289" s="545"/>
      <c r="V289" s="1103"/>
      <c r="W289" s="1103"/>
      <c r="X289" s="1060"/>
      <c r="Y289" s="1095" t="e">
        <f t="shared" si="113"/>
        <v>#VALUE!</v>
      </c>
      <c r="Z289" s="1094">
        <f>tab!B$50</f>
        <v>0.6</v>
      </c>
      <c r="AA289" s="1126" t="e">
        <f t="shared" si="114"/>
        <v>#VALUE!</v>
      </c>
      <c r="AB289" s="1126" t="e">
        <f t="shared" si="115"/>
        <v>#VALUE!</v>
      </c>
      <c r="AC289" s="1126" t="e">
        <f t="shared" si="116"/>
        <v>#VALUE!</v>
      </c>
      <c r="AD289" s="1128" t="e">
        <f t="shared" si="117"/>
        <v>#VALUE!</v>
      </c>
      <c r="AE289" s="1128">
        <f t="shared" si="118"/>
        <v>0</v>
      </c>
      <c r="AF289" s="1096">
        <f>IF(H289&gt;8,tab!$B$51,tab!$B$54)</f>
        <v>0.5</v>
      </c>
      <c r="AG289" s="1097">
        <f t="shared" si="119"/>
        <v>0</v>
      </c>
      <c r="AH289" s="1093">
        <f t="shared" si="120"/>
        <v>0</v>
      </c>
    </row>
    <row r="290" spans="3:34" x14ac:dyDescent="0.3">
      <c r="C290" s="114"/>
      <c r="D290" s="353" t="str">
        <f>IF(obp!D248=0,"",obp!D248)</f>
        <v/>
      </c>
      <c r="E290" s="388" t="str">
        <f>IF(obp!E248=0,"-",obp!E248)</f>
        <v/>
      </c>
      <c r="F290" s="105" t="str">
        <f>IF(obp!F248="","",obp!F248+1)</f>
        <v/>
      </c>
      <c r="G290" s="354" t="str">
        <f>IF(obp!G248="","",obp!G248)</f>
        <v/>
      </c>
      <c r="H290" s="684" t="str">
        <f>IF(obp!H248=0,"",obp!H248)</f>
        <v/>
      </c>
      <c r="I290" s="389" t="str">
        <f>IF(J290="","",(IF(obp!I248+1&gt;LOOKUP(H290,schaal2019,regels2019),obp!I248,obp!I248+1)))</f>
        <v/>
      </c>
      <c r="J290" s="356" t="str">
        <f>IF(obp!J248="","",obp!J248)</f>
        <v/>
      </c>
      <c r="K290" s="370"/>
      <c r="L290" s="1049">
        <f>IF(obp!L248="","",obp!L248)</f>
        <v>0</v>
      </c>
      <c r="M290" s="1049">
        <f>IF(obp!M248="","",obp!M248)</f>
        <v>0</v>
      </c>
      <c r="N290" s="1051" t="str">
        <f t="shared" si="109"/>
        <v/>
      </c>
      <c r="O290" s="1051"/>
      <c r="P290" s="1125" t="str">
        <f t="shared" si="110"/>
        <v/>
      </c>
      <c r="Q290" s="472"/>
      <c r="R290" s="923" t="str">
        <f t="shared" si="121"/>
        <v/>
      </c>
      <c r="S290" s="923" t="str">
        <f t="shared" si="111"/>
        <v/>
      </c>
      <c r="T290" s="925" t="str">
        <f t="shared" si="112"/>
        <v/>
      </c>
      <c r="U290" s="545"/>
      <c r="V290" s="1103"/>
      <c r="W290" s="1103"/>
      <c r="X290" s="1060"/>
      <c r="Y290" s="1095" t="e">
        <f t="shared" si="113"/>
        <v>#VALUE!</v>
      </c>
      <c r="Z290" s="1094">
        <f>tab!B$50</f>
        <v>0.6</v>
      </c>
      <c r="AA290" s="1126" t="e">
        <f t="shared" si="114"/>
        <v>#VALUE!</v>
      </c>
      <c r="AB290" s="1126" t="e">
        <f t="shared" si="115"/>
        <v>#VALUE!</v>
      </c>
      <c r="AC290" s="1126" t="e">
        <f t="shared" si="116"/>
        <v>#VALUE!</v>
      </c>
      <c r="AD290" s="1128" t="e">
        <f t="shared" si="117"/>
        <v>#VALUE!</v>
      </c>
      <c r="AE290" s="1128">
        <f t="shared" si="118"/>
        <v>0</v>
      </c>
      <c r="AF290" s="1096">
        <f>IF(H290&gt;8,tab!$B$51,tab!$B$54)</f>
        <v>0.5</v>
      </c>
      <c r="AG290" s="1097">
        <f t="shared" si="119"/>
        <v>0</v>
      </c>
      <c r="AH290" s="1093">
        <f t="shared" si="120"/>
        <v>0</v>
      </c>
    </row>
    <row r="291" spans="3:34" x14ac:dyDescent="0.3">
      <c r="C291" s="114"/>
      <c r="D291" s="353" t="str">
        <f>IF(obp!D249=0,"",obp!D249)</f>
        <v/>
      </c>
      <c r="E291" s="388" t="str">
        <f>IF(obp!E249=0,"-",obp!E249)</f>
        <v/>
      </c>
      <c r="F291" s="105" t="str">
        <f>IF(obp!F249="","",obp!F249+1)</f>
        <v/>
      </c>
      <c r="G291" s="354" t="str">
        <f>IF(obp!G249="","",obp!G249)</f>
        <v/>
      </c>
      <c r="H291" s="684" t="str">
        <f>IF(obp!H249=0,"",obp!H249)</f>
        <v/>
      </c>
      <c r="I291" s="389" t="str">
        <f>IF(J291="","",(IF(obp!I249+1&gt;LOOKUP(H291,schaal2019,regels2019),obp!I249,obp!I249+1)))</f>
        <v/>
      </c>
      <c r="J291" s="356" t="str">
        <f>IF(obp!J249="","",obp!J249)</f>
        <v/>
      </c>
      <c r="K291" s="370"/>
      <c r="L291" s="1049">
        <f>IF(obp!L249="","",obp!L249)</f>
        <v>0</v>
      </c>
      <c r="M291" s="1049">
        <f>IF(obp!M249="","",obp!M249)</f>
        <v>0</v>
      </c>
      <c r="N291" s="1051" t="str">
        <f t="shared" si="109"/>
        <v/>
      </c>
      <c r="O291" s="1051"/>
      <c r="P291" s="1125" t="str">
        <f t="shared" si="110"/>
        <v/>
      </c>
      <c r="Q291" s="472"/>
      <c r="R291" s="923" t="str">
        <f t="shared" si="121"/>
        <v/>
      </c>
      <c r="S291" s="923" t="str">
        <f t="shared" si="111"/>
        <v/>
      </c>
      <c r="T291" s="925" t="str">
        <f t="shared" si="112"/>
        <v/>
      </c>
      <c r="U291" s="545"/>
      <c r="V291" s="1103"/>
      <c r="W291" s="1103"/>
      <c r="X291" s="1060"/>
      <c r="Y291" s="1095" t="e">
        <f t="shared" si="113"/>
        <v>#VALUE!</v>
      </c>
      <c r="Z291" s="1094">
        <f>tab!B$50</f>
        <v>0.6</v>
      </c>
      <c r="AA291" s="1126" t="e">
        <f t="shared" si="114"/>
        <v>#VALUE!</v>
      </c>
      <c r="AB291" s="1126" t="e">
        <f t="shared" si="115"/>
        <v>#VALUE!</v>
      </c>
      <c r="AC291" s="1126" t="e">
        <f t="shared" si="116"/>
        <v>#VALUE!</v>
      </c>
      <c r="AD291" s="1128" t="e">
        <f t="shared" si="117"/>
        <v>#VALUE!</v>
      </c>
      <c r="AE291" s="1128">
        <f t="shared" si="118"/>
        <v>0</v>
      </c>
      <c r="AF291" s="1096">
        <f>IF(H291&gt;8,tab!$B$51,tab!$B$54)</f>
        <v>0.5</v>
      </c>
      <c r="AG291" s="1097">
        <f t="shared" si="119"/>
        <v>0</v>
      </c>
      <c r="AH291" s="1093">
        <f t="shared" si="120"/>
        <v>0</v>
      </c>
    </row>
    <row r="292" spans="3:34" x14ac:dyDescent="0.3">
      <c r="C292" s="114"/>
      <c r="D292" s="353" t="str">
        <f>IF(obp!D250=0,"",obp!D250)</f>
        <v/>
      </c>
      <c r="E292" s="388" t="str">
        <f>IF(obp!E250=0,"-",obp!E250)</f>
        <v/>
      </c>
      <c r="F292" s="105" t="str">
        <f>IF(obp!F250="","",obp!F250+1)</f>
        <v/>
      </c>
      <c r="G292" s="354" t="str">
        <f>IF(obp!G250="","",obp!G250)</f>
        <v/>
      </c>
      <c r="H292" s="684" t="str">
        <f>IF(obp!H250=0,"",obp!H250)</f>
        <v/>
      </c>
      <c r="I292" s="389" t="str">
        <f>IF(J292="","",(IF(obp!I250+1&gt;LOOKUP(H292,schaal2019,regels2019),obp!I250,obp!I250+1)))</f>
        <v/>
      </c>
      <c r="J292" s="356" t="str">
        <f>IF(obp!J250="","",obp!J250)</f>
        <v/>
      </c>
      <c r="K292" s="370"/>
      <c r="L292" s="1049">
        <f>IF(obp!L250="","",obp!L250)</f>
        <v>0</v>
      </c>
      <c r="M292" s="1049">
        <f>IF(obp!M250="","",obp!M250)</f>
        <v>0</v>
      </c>
      <c r="N292" s="1051" t="str">
        <f t="shared" si="109"/>
        <v/>
      </c>
      <c r="O292" s="1051"/>
      <c r="P292" s="1125" t="str">
        <f t="shared" si="110"/>
        <v/>
      </c>
      <c r="Q292" s="472"/>
      <c r="R292" s="923" t="str">
        <f t="shared" si="121"/>
        <v/>
      </c>
      <c r="S292" s="923" t="str">
        <f t="shared" si="111"/>
        <v/>
      </c>
      <c r="T292" s="925" t="str">
        <f t="shared" si="112"/>
        <v/>
      </c>
      <c r="U292" s="545"/>
      <c r="V292" s="1103"/>
      <c r="W292" s="1103"/>
      <c r="X292" s="1060"/>
      <c r="Y292" s="1095" t="e">
        <f t="shared" si="113"/>
        <v>#VALUE!</v>
      </c>
      <c r="Z292" s="1094">
        <f>tab!B$50</f>
        <v>0.6</v>
      </c>
      <c r="AA292" s="1126" t="e">
        <f t="shared" si="114"/>
        <v>#VALUE!</v>
      </c>
      <c r="AB292" s="1126" t="e">
        <f t="shared" si="115"/>
        <v>#VALUE!</v>
      </c>
      <c r="AC292" s="1126" t="e">
        <f t="shared" si="116"/>
        <v>#VALUE!</v>
      </c>
      <c r="AD292" s="1128" t="e">
        <f t="shared" si="117"/>
        <v>#VALUE!</v>
      </c>
      <c r="AE292" s="1128">
        <f t="shared" si="118"/>
        <v>0</v>
      </c>
      <c r="AF292" s="1096">
        <f>IF(H292&gt;8,tab!$B$51,tab!$B$54)</f>
        <v>0.5</v>
      </c>
      <c r="AG292" s="1097">
        <f t="shared" si="119"/>
        <v>0</v>
      </c>
      <c r="AH292" s="1093">
        <f t="shared" si="120"/>
        <v>0</v>
      </c>
    </row>
    <row r="293" spans="3:34" x14ac:dyDescent="0.3">
      <c r="C293" s="114"/>
      <c r="D293" s="353" t="str">
        <f>IF(obp!D251=0,"",obp!D251)</f>
        <v/>
      </c>
      <c r="E293" s="388" t="str">
        <f>IF(obp!E251=0,"-",obp!E251)</f>
        <v/>
      </c>
      <c r="F293" s="105" t="str">
        <f>IF(obp!F251="","",obp!F251+1)</f>
        <v/>
      </c>
      <c r="G293" s="354" t="str">
        <f>IF(obp!G251="","",obp!G251)</f>
        <v/>
      </c>
      <c r="H293" s="684" t="str">
        <f>IF(obp!H251=0,"",obp!H251)</f>
        <v/>
      </c>
      <c r="I293" s="389" t="str">
        <f>IF(J293="","",(IF(obp!I251+1&gt;LOOKUP(H293,schaal2019,regels2019),obp!I251,obp!I251+1)))</f>
        <v/>
      </c>
      <c r="J293" s="356" t="str">
        <f>IF(obp!J251="","",obp!J251)</f>
        <v/>
      </c>
      <c r="K293" s="370"/>
      <c r="L293" s="1049">
        <f>IF(obp!L251="","",obp!L251)</f>
        <v>0</v>
      </c>
      <c r="M293" s="1049">
        <f>IF(obp!M251="","",obp!M251)</f>
        <v>0</v>
      </c>
      <c r="N293" s="1051" t="str">
        <f t="shared" si="109"/>
        <v/>
      </c>
      <c r="O293" s="1051"/>
      <c r="P293" s="1125" t="str">
        <f t="shared" si="110"/>
        <v/>
      </c>
      <c r="Q293" s="472"/>
      <c r="R293" s="923" t="str">
        <f t="shared" si="121"/>
        <v/>
      </c>
      <c r="S293" s="923" t="str">
        <f t="shared" si="111"/>
        <v/>
      </c>
      <c r="T293" s="925" t="str">
        <f t="shared" si="112"/>
        <v/>
      </c>
      <c r="U293" s="545"/>
      <c r="V293" s="1103"/>
      <c r="W293" s="1103"/>
      <c r="X293" s="1060"/>
      <c r="Y293" s="1095" t="e">
        <f t="shared" si="113"/>
        <v>#VALUE!</v>
      </c>
      <c r="Z293" s="1094">
        <f>tab!B$50</f>
        <v>0.6</v>
      </c>
      <c r="AA293" s="1126" t="e">
        <f t="shared" si="114"/>
        <v>#VALUE!</v>
      </c>
      <c r="AB293" s="1126" t="e">
        <f t="shared" si="115"/>
        <v>#VALUE!</v>
      </c>
      <c r="AC293" s="1126" t="e">
        <f t="shared" si="116"/>
        <v>#VALUE!</v>
      </c>
      <c r="AD293" s="1128" t="e">
        <f t="shared" si="117"/>
        <v>#VALUE!</v>
      </c>
      <c r="AE293" s="1128">
        <f t="shared" si="118"/>
        <v>0</v>
      </c>
      <c r="AF293" s="1096">
        <f>IF(H293&gt;8,tab!$B$51,tab!$B$54)</f>
        <v>0.5</v>
      </c>
      <c r="AG293" s="1097">
        <f t="shared" si="119"/>
        <v>0</v>
      </c>
      <c r="AH293" s="1093">
        <f t="shared" si="120"/>
        <v>0</v>
      </c>
    </row>
    <row r="294" spans="3:34" x14ac:dyDescent="0.3">
      <c r="C294" s="114"/>
      <c r="D294" s="353" t="str">
        <f>IF(obp!D252=0,"",obp!D252)</f>
        <v/>
      </c>
      <c r="E294" s="388" t="str">
        <f>IF(obp!E252=0,"-",obp!E252)</f>
        <v/>
      </c>
      <c r="F294" s="105" t="str">
        <f>IF(obp!F252="","",obp!F252+1)</f>
        <v/>
      </c>
      <c r="G294" s="354" t="str">
        <f>IF(obp!G252="","",obp!G252)</f>
        <v/>
      </c>
      <c r="H294" s="684" t="str">
        <f>IF(obp!H252=0,"",obp!H252)</f>
        <v/>
      </c>
      <c r="I294" s="389" t="str">
        <f>IF(J294="","",(IF(obp!I252+1&gt;LOOKUP(H294,schaal2019,regels2019),obp!I252,obp!I252+1)))</f>
        <v/>
      </c>
      <c r="J294" s="356" t="str">
        <f>IF(obp!J252="","",obp!J252)</f>
        <v/>
      </c>
      <c r="K294" s="370"/>
      <c r="L294" s="1049">
        <f>IF(obp!L252="","",obp!L252)</f>
        <v>0</v>
      </c>
      <c r="M294" s="1049">
        <f>IF(obp!M252="","",obp!M252)</f>
        <v>0</v>
      </c>
      <c r="N294" s="1051" t="str">
        <f t="shared" si="109"/>
        <v/>
      </c>
      <c r="O294" s="1051"/>
      <c r="P294" s="1125" t="str">
        <f t="shared" si="110"/>
        <v/>
      </c>
      <c r="Q294" s="472"/>
      <c r="R294" s="923" t="str">
        <f t="shared" si="121"/>
        <v/>
      </c>
      <c r="S294" s="923" t="str">
        <f t="shared" si="111"/>
        <v/>
      </c>
      <c r="T294" s="925" t="str">
        <f t="shared" si="112"/>
        <v/>
      </c>
      <c r="U294" s="545"/>
      <c r="V294" s="1103"/>
      <c r="W294" s="1103"/>
      <c r="X294" s="1060"/>
      <c r="Y294" s="1095" t="e">
        <f t="shared" si="113"/>
        <v>#VALUE!</v>
      </c>
      <c r="Z294" s="1094">
        <f>tab!B$50</f>
        <v>0.6</v>
      </c>
      <c r="AA294" s="1126" t="e">
        <f t="shared" si="114"/>
        <v>#VALUE!</v>
      </c>
      <c r="AB294" s="1126" t="e">
        <f t="shared" si="115"/>
        <v>#VALUE!</v>
      </c>
      <c r="AC294" s="1126" t="e">
        <f t="shared" si="116"/>
        <v>#VALUE!</v>
      </c>
      <c r="AD294" s="1128" t="e">
        <f t="shared" si="117"/>
        <v>#VALUE!</v>
      </c>
      <c r="AE294" s="1128">
        <f t="shared" si="118"/>
        <v>0</v>
      </c>
      <c r="AF294" s="1096">
        <f>IF(H294&gt;8,tab!$B$51,tab!$B$54)</f>
        <v>0.5</v>
      </c>
      <c r="AG294" s="1097">
        <f t="shared" si="119"/>
        <v>0</v>
      </c>
      <c r="AH294" s="1093">
        <f t="shared" si="120"/>
        <v>0</v>
      </c>
    </row>
    <row r="295" spans="3:34" x14ac:dyDescent="0.3">
      <c r="C295" s="114"/>
      <c r="D295" s="353" t="str">
        <f>IF(obp!D253=0,"",obp!D253)</f>
        <v/>
      </c>
      <c r="E295" s="388" t="str">
        <f>IF(obp!E253=0,"-",obp!E253)</f>
        <v/>
      </c>
      <c r="F295" s="105" t="str">
        <f>IF(obp!F253="","",obp!F253+1)</f>
        <v/>
      </c>
      <c r="G295" s="354" t="str">
        <f>IF(obp!G253="","",obp!G253)</f>
        <v/>
      </c>
      <c r="H295" s="684" t="str">
        <f>IF(obp!H253=0,"",obp!H253)</f>
        <v/>
      </c>
      <c r="I295" s="389" t="str">
        <f>IF(J295="","",(IF(obp!I253+1&gt;LOOKUP(H295,schaal2019,regels2019),obp!I253,obp!I253+1)))</f>
        <v/>
      </c>
      <c r="J295" s="356" t="str">
        <f>IF(obp!J253="","",obp!J253)</f>
        <v/>
      </c>
      <c r="K295" s="370"/>
      <c r="L295" s="1049">
        <f>IF(obp!L253="","",obp!L253)</f>
        <v>0</v>
      </c>
      <c r="M295" s="1049">
        <f>IF(obp!M253="","",obp!M253)</f>
        <v>0</v>
      </c>
      <c r="N295" s="1051" t="str">
        <f t="shared" si="109"/>
        <v/>
      </c>
      <c r="O295" s="1051"/>
      <c r="P295" s="1125" t="str">
        <f t="shared" si="110"/>
        <v/>
      </c>
      <c r="Q295" s="472"/>
      <c r="R295" s="923" t="str">
        <f t="shared" si="121"/>
        <v/>
      </c>
      <c r="S295" s="923" t="str">
        <f t="shared" si="111"/>
        <v/>
      </c>
      <c r="T295" s="925" t="str">
        <f t="shared" si="112"/>
        <v/>
      </c>
      <c r="U295" s="545"/>
      <c r="V295" s="1103"/>
      <c r="W295" s="1103"/>
      <c r="X295" s="1060"/>
      <c r="Y295" s="1095" t="e">
        <f t="shared" si="113"/>
        <v>#VALUE!</v>
      </c>
      <c r="Z295" s="1094">
        <f>tab!B$50</f>
        <v>0.6</v>
      </c>
      <c r="AA295" s="1126" t="e">
        <f t="shared" si="114"/>
        <v>#VALUE!</v>
      </c>
      <c r="AB295" s="1126" t="e">
        <f t="shared" si="115"/>
        <v>#VALUE!</v>
      </c>
      <c r="AC295" s="1126" t="e">
        <f t="shared" si="116"/>
        <v>#VALUE!</v>
      </c>
      <c r="AD295" s="1128" t="e">
        <f t="shared" si="117"/>
        <v>#VALUE!</v>
      </c>
      <c r="AE295" s="1128">
        <f t="shared" si="118"/>
        <v>0</v>
      </c>
      <c r="AF295" s="1096">
        <f>IF(H295&gt;8,tab!$B$51,tab!$B$54)</f>
        <v>0.5</v>
      </c>
      <c r="AG295" s="1097">
        <f t="shared" si="119"/>
        <v>0</v>
      </c>
      <c r="AH295" s="1093">
        <f t="shared" si="120"/>
        <v>0</v>
      </c>
    </row>
    <row r="296" spans="3:34" x14ac:dyDescent="0.3">
      <c r="C296" s="114"/>
      <c r="D296" s="353" t="str">
        <f>IF(obp!D254=0,"",obp!D254)</f>
        <v/>
      </c>
      <c r="E296" s="388" t="str">
        <f>IF(obp!E254=0,"-",obp!E254)</f>
        <v/>
      </c>
      <c r="F296" s="105" t="str">
        <f>IF(obp!F254="","",obp!F254+1)</f>
        <v/>
      </c>
      <c r="G296" s="354" t="str">
        <f>IF(obp!G254="","",obp!G254)</f>
        <v/>
      </c>
      <c r="H296" s="684" t="str">
        <f>IF(obp!H254=0,"",obp!H254)</f>
        <v/>
      </c>
      <c r="I296" s="389" t="str">
        <f>IF(J296="","",(IF(obp!I254+1&gt;LOOKUP(H296,schaal2019,regels2019),obp!I254,obp!I254+1)))</f>
        <v/>
      </c>
      <c r="J296" s="356" t="str">
        <f>IF(obp!J254="","",obp!J254)</f>
        <v/>
      </c>
      <c r="K296" s="370"/>
      <c r="L296" s="1049">
        <f>IF(obp!L254="","",obp!L254)</f>
        <v>0</v>
      </c>
      <c r="M296" s="1049">
        <f>IF(obp!M254="","",obp!M254)</f>
        <v>0</v>
      </c>
      <c r="N296" s="1051" t="str">
        <f t="shared" si="109"/>
        <v/>
      </c>
      <c r="O296" s="1051"/>
      <c r="P296" s="1125" t="str">
        <f t="shared" si="110"/>
        <v/>
      </c>
      <c r="Q296" s="472"/>
      <c r="R296" s="923" t="str">
        <f t="shared" si="121"/>
        <v/>
      </c>
      <c r="S296" s="923" t="str">
        <f t="shared" si="111"/>
        <v/>
      </c>
      <c r="T296" s="925" t="str">
        <f t="shared" si="112"/>
        <v/>
      </c>
      <c r="U296" s="545"/>
      <c r="V296" s="1103"/>
      <c r="W296" s="1103"/>
      <c r="X296" s="1060"/>
      <c r="Y296" s="1095" t="e">
        <f t="shared" si="113"/>
        <v>#VALUE!</v>
      </c>
      <c r="Z296" s="1094">
        <f>tab!B$50</f>
        <v>0.6</v>
      </c>
      <c r="AA296" s="1126" t="e">
        <f t="shared" si="114"/>
        <v>#VALUE!</v>
      </c>
      <c r="AB296" s="1126" t="e">
        <f t="shared" si="115"/>
        <v>#VALUE!</v>
      </c>
      <c r="AC296" s="1126" t="e">
        <f t="shared" si="116"/>
        <v>#VALUE!</v>
      </c>
      <c r="AD296" s="1128" t="e">
        <f t="shared" si="117"/>
        <v>#VALUE!</v>
      </c>
      <c r="AE296" s="1128">
        <f t="shared" si="118"/>
        <v>0</v>
      </c>
      <c r="AF296" s="1096">
        <f>IF(H296&gt;8,tab!$B$51,tab!$B$54)</f>
        <v>0.5</v>
      </c>
      <c r="AG296" s="1097">
        <f t="shared" si="119"/>
        <v>0</v>
      </c>
      <c r="AH296" s="1093">
        <f t="shared" si="120"/>
        <v>0</v>
      </c>
    </row>
    <row r="297" spans="3:34" x14ac:dyDescent="0.3">
      <c r="C297" s="114"/>
      <c r="D297" s="353" t="str">
        <f>IF(obp!D255=0,"",obp!D255)</f>
        <v/>
      </c>
      <c r="E297" s="388" t="str">
        <f>IF(obp!E255=0,"-",obp!E255)</f>
        <v/>
      </c>
      <c r="F297" s="105" t="str">
        <f>IF(obp!F255="","",obp!F255+1)</f>
        <v/>
      </c>
      <c r="G297" s="354" t="str">
        <f>IF(obp!G255="","",obp!G255)</f>
        <v/>
      </c>
      <c r="H297" s="684" t="str">
        <f>IF(obp!H255=0,"",obp!H255)</f>
        <v/>
      </c>
      <c r="I297" s="389" t="str">
        <f>IF(J297="","",(IF(obp!I255+1&gt;LOOKUP(H297,schaal2019,regels2019),obp!I255,obp!I255+1)))</f>
        <v/>
      </c>
      <c r="J297" s="356" t="str">
        <f>IF(obp!J255="","",obp!J255)</f>
        <v/>
      </c>
      <c r="K297" s="370"/>
      <c r="L297" s="1049">
        <f>IF(obp!L255="","",obp!L255)</f>
        <v>0</v>
      </c>
      <c r="M297" s="1049">
        <f>IF(obp!M255="","",obp!M255)</f>
        <v>0</v>
      </c>
      <c r="N297" s="1051" t="str">
        <f t="shared" si="109"/>
        <v/>
      </c>
      <c r="O297" s="1051"/>
      <c r="P297" s="1125" t="str">
        <f t="shared" si="110"/>
        <v/>
      </c>
      <c r="Q297" s="472"/>
      <c r="R297" s="923" t="str">
        <f t="shared" si="121"/>
        <v/>
      </c>
      <c r="S297" s="923" t="str">
        <f t="shared" si="111"/>
        <v/>
      </c>
      <c r="T297" s="925" t="str">
        <f t="shared" si="112"/>
        <v/>
      </c>
      <c r="U297" s="545"/>
      <c r="V297" s="1103"/>
      <c r="W297" s="1103"/>
      <c r="X297" s="1060"/>
      <c r="Y297" s="1095" t="e">
        <f t="shared" si="113"/>
        <v>#VALUE!</v>
      </c>
      <c r="Z297" s="1094">
        <f>tab!B$50</f>
        <v>0.6</v>
      </c>
      <c r="AA297" s="1126" t="e">
        <f t="shared" si="114"/>
        <v>#VALUE!</v>
      </c>
      <c r="AB297" s="1126" t="e">
        <f t="shared" si="115"/>
        <v>#VALUE!</v>
      </c>
      <c r="AC297" s="1126" t="e">
        <f t="shared" si="116"/>
        <v>#VALUE!</v>
      </c>
      <c r="AD297" s="1128" t="e">
        <f t="shared" si="117"/>
        <v>#VALUE!</v>
      </c>
      <c r="AE297" s="1128">
        <f t="shared" si="118"/>
        <v>0</v>
      </c>
      <c r="AF297" s="1096">
        <f>IF(H297&gt;8,tab!$B$51,tab!$B$54)</f>
        <v>0.5</v>
      </c>
      <c r="AG297" s="1097">
        <f t="shared" si="119"/>
        <v>0</v>
      </c>
      <c r="AH297" s="1093">
        <f t="shared" si="120"/>
        <v>0</v>
      </c>
    </row>
    <row r="298" spans="3:34" x14ac:dyDescent="0.3">
      <c r="C298" s="114"/>
      <c r="D298" s="353" t="str">
        <f>IF(obp!D256=0,"",obp!D256)</f>
        <v/>
      </c>
      <c r="E298" s="388" t="str">
        <f>IF(obp!E256=0,"-",obp!E256)</f>
        <v/>
      </c>
      <c r="F298" s="105" t="str">
        <f>IF(obp!F256="","",obp!F256+1)</f>
        <v/>
      </c>
      <c r="G298" s="354" t="str">
        <f>IF(obp!G256="","",obp!G256)</f>
        <v/>
      </c>
      <c r="H298" s="684" t="str">
        <f>IF(obp!H256=0,"",obp!H256)</f>
        <v/>
      </c>
      <c r="I298" s="389" t="str">
        <f>IF(J298="","",(IF(obp!I256+1&gt;LOOKUP(H298,schaal2019,regels2019),obp!I256,obp!I256+1)))</f>
        <v/>
      </c>
      <c r="J298" s="356" t="str">
        <f>IF(obp!J256="","",obp!J256)</f>
        <v/>
      </c>
      <c r="K298" s="370"/>
      <c r="L298" s="1049">
        <f>IF(obp!L256="","",obp!L256)</f>
        <v>0</v>
      </c>
      <c r="M298" s="1049">
        <f>IF(obp!M256="","",obp!M256)</f>
        <v>0</v>
      </c>
      <c r="N298" s="1051" t="str">
        <f t="shared" si="109"/>
        <v/>
      </c>
      <c r="O298" s="1051"/>
      <c r="P298" s="1125" t="str">
        <f t="shared" si="110"/>
        <v/>
      </c>
      <c r="Q298" s="472"/>
      <c r="R298" s="923" t="str">
        <f t="shared" si="121"/>
        <v/>
      </c>
      <c r="S298" s="923" t="str">
        <f t="shared" si="111"/>
        <v/>
      </c>
      <c r="T298" s="925" t="str">
        <f t="shared" si="112"/>
        <v/>
      </c>
      <c r="U298" s="545"/>
      <c r="V298" s="1103"/>
      <c r="W298" s="1103"/>
      <c r="X298" s="1060"/>
      <c r="Y298" s="1095" t="e">
        <f t="shared" si="113"/>
        <v>#VALUE!</v>
      </c>
      <c r="Z298" s="1094">
        <f>tab!B$50</f>
        <v>0.6</v>
      </c>
      <c r="AA298" s="1126" t="e">
        <f t="shared" si="114"/>
        <v>#VALUE!</v>
      </c>
      <c r="AB298" s="1126" t="e">
        <f t="shared" si="115"/>
        <v>#VALUE!</v>
      </c>
      <c r="AC298" s="1126" t="e">
        <f t="shared" si="116"/>
        <v>#VALUE!</v>
      </c>
      <c r="AD298" s="1128" t="e">
        <f t="shared" si="117"/>
        <v>#VALUE!</v>
      </c>
      <c r="AE298" s="1128">
        <f t="shared" si="118"/>
        <v>0</v>
      </c>
      <c r="AF298" s="1096">
        <f>IF(H298&gt;8,tab!$B$51,tab!$B$54)</f>
        <v>0.5</v>
      </c>
      <c r="AG298" s="1097">
        <f t="shared" si="119"/>
        <v>0</v>
      </c>
      <c r="AH298" s="1093">
        <f t="shared" si="120"/>
        <v>0</v>
      </c>
    </row>
    <row r="299" spans="3:34" x14ac:dyDescent="0.3">
      <c r="C299" s="114"/>
      <c r="D299" s="353" t="str">
        <f>IF(obp!D257=0,"",obp!D257)</f>
        <v/>
      </c>
      <c r="E299" s="388" t="str">
        <f>IF(obp!E257=0,"-",obp!E257)</f>
        <v/>
      </c>
      <c r="F299" s="105" t="str">
        <f>IF(obp!F257="","",obp!F257+1)</f>
        <v/>
      </c>
      <c r="G299" s="354" t="str">
        <f>IF(obp!G257="","",obp!G257)</f>
        <v/>
      </c>
      <c r="H299" s="684" t="str">
        <f>IF(obp!H257=0,"",obp!H257)</f>
        <v/>
      </c>
      <c r="I299" s="389" t="str">
        <f>IF(J299="","",(IF(obp!I257+1&gt;LOOKUP(H299,schaal2019,regels2019),obp!I257,obp!I257+1)))</f>
        <v/>
      </c>
      <c r="J299" s="356" t="str">
        <f>IF(obp!J257="","",obp!J257)</f>
        <v/>
      </c>
      <c r="K299" s="370"/>
      <c r="L299" s="1049">
        <f>IF(obp!L257="","",obp!L257)</f>
        <v>0</v>
      </c>
      <c r="M299" s="1049">
        <f>IF(obp!M257="","",obp!M257)</f>
        <v>0</v>
      </c>
      <c r="N299" s="1051" t="str">
        <f t="shared" si="109"/>
        <v/>
      </c>
      <c r="O299" s="1051"/>
      <c r="P299" s="1125" t="str">
        <f t="shared" si="110"/>
        <v/>
      </c>
      <c r="Q299" s="472"/>
      <c r="R299" s="923" t="str">
        <f t="shared" si="121"/>
        <v/>
      </c>
      <c r="S299" s="923" t="str">
        <f t="shared" si="111"/>
        <v/>
      </c>
      <c r="T299" s="925" t="str">
        <f t="shared" si="112"/>
        <v/>
      </c>
      <c r="U299" s="545"/>
      <c r="V299" s="1103"/>
      <c r="W299" s="1103"/>
      <c r="X299" s="1060"/>
      <c r="Y299" s="1095" t="e">
        <f t="shared" si="113"/>
        <v>#VALUE!</v>
      </c>
      <c r="Z299" s="1094">
        <f>tab!B$50</f>
        <v>0.6</v>
      </c>
      <c r="AA299" s="1126" t="e">
        <f t="shared" si="114"/>
        <v>#VALUE!</v>
      </c>
      <c r="AB299" s="1126" t="e">
        <f t="shared" si="115"/>
        <v>#VALUE!</v>
      </c>
      <c r="AC299" s="1126" t="e">
        <f t="shared" si="116"/>
        <v>#VALUE!</v>
      </c>
      <c r="AD299" s="1128" t="e">
        <f t="shared" si="117"/>
        <v>#VALUE!</v>
      </c>
      <c r="AE299" s="1128">
        <f t="shared" si="118"/>
        <v>0</v>
      </c>
      <c r="AF299" s="1096">
        <f>IF(H299&gt;8,tab!$B$51,tab!$B$54)</f>
        <v>0.5</v>
      </c>
      <c r="AG299" s="1097">
        <f t="shared" si="119"/>
        <v>0</v>
      </c>
      <c r="AH299" s="1093">
        <f t="shared" si="120"/>
        <v>0</v>
      </c>
    </row>
    <row r="300" spans="3:34" x14ac:dyDescent="0.3">
      <c r="C300" s="114"/>
      <c r="D300" s="730"/>
      <c r="E300" s="731"/>
      <c r="F300" s="119"/>
      <c r="G300" s="683"/>
      <c r="H300" s="732"/>
      <c r="I300" s="369"/>
      <c r="J300" s="963">
        <f>SUM(J270:J299)</f>
        <v>1</v>
      </c>
      <c r="K300" s="715"/>
      <c r="L300" s="1062">
        <f t="shared" ref="L300:M300" si="122">SUM(L270:L299)</f>
        <v>0</v>
      </c>
      <c r="M300" s="1062">
        <f t="shared" si="122"/>
        <v>0</v>
      </c>
      <c r="N300" s="1039">
        <f>SUM(N270:N299)</f>
        <v>40</v>
      </c>
      <c r="O300" s="919"/>
      <c r="P300" s="1039">
        <f t="shared" ref="P300" si="123">SUM(P270:P299)</f>
        <v>40</v>
      </c>
      <c r="Q300" s="715"/>
      <c r="R300" s="964">
        <f t="shared" ref="R300:T300" si="124">SUM(R270:R299)</f>
        <v>62413.181916817368</v>
      </c>
      <c r="S300" s="965">
        <f t="shared" si="124"/>
        <v>1542.0180831826403</v>
      </c>
      <c r="T300" s="962">
        <f t="shared" si="124"/>
        <v>63955.200000000012</v>
      </c>
      <c r="U300" s="117"/>
      <c r="V300" s="1063"/>
      <c r="W300" s="1063"/>
      <c r="Y300" s="1112"/>
      <c r="Z300" s="1113"/>
      <c r="AA300" s="1113"/>
      <c r="AB300" s="1113"/>
      <c r="AC300" s="1113"/>
      <c r="AG300" s="1090">
        <f>SUM(AG270:AG299)</f>
        <v>0</v>
      </c>
      <c r="AH300" s="1114">
        <f>SUM(AH270:AH299)</f>
        <v>0</v>
      </c>
    </row>
    <row r="301" spans="3:34" x14ac:dyDescent="0.3">
      <c r="D301" s="1304"/>
      <c r="E301" s="1305"/>
      <c r="F301" s="1306"/>
      <c r="G301" s="1307"/>
      <c r="H301" s="1308"/>
      <c r="I301" s="1309"/>
      <c r="J301" s="1309"/>
      <c r="K301" s="1309"/>
      <c r="L301" s="1309"/>
      <c r="M301" s="1309"/>
      <c r="N301" s="1309"/>
      <c r="O301" s="1309"/>
      <c r="P301" s="1309"/>
      <c r="Q301" s="1309"/>
      <c r="R301" s="1309"/>
      <c r="S301" s="1309"/>
      <c r="T301" s="1309"/>
      <c r="U301" s="1309"/>
      <c r="V301" s="1309"/>
      <c r="W301" s="1063"/>
      <c r="Y301" s="1112"/>
      <c r="Z301" s="1113"/>
      <c r="AA301" s="1113"/>
      <c r="AB301" s="1113"/>
      <c r="AC301" s="1113"/>
      <c r="AG301" s="1090"/>
      <c r="AH301" s="1114"/>
    </row>
    <row r="302" spans="3:34" x14ac:dyDescent="0.3">
      <c r="D302" s="1304"/>
      <c r="E302" s="1305"/>
      <c r="F302" s="1306"/>
      <c r="G302" s="1307"/>
      <c r="H302" s="1308"/>
      <c r="I302" s="1309"/>
      <c r="J302" s="1309"/>
      <c r="K302" s="1309"/>
      <c r="L302" s="1309"/>
      <c r="M302" s="1309"/>
      <c r="N302" s="1309"/>
      <c r="O302" s="1309"/>
      <c r="P302" s="1309"/>
      <c r="Q302" s="1309"/>
      <c r="R302" s="1309"/>
      <c r="S302" s="1309"/>
      <c r="T302" s="1309"/>
      <c r="U302" s="1309"/>
      <c r="V302" s="1309"/>
      <c r="W302" s="1063"/>
      <c r="Y302" s="1112"/>
      <c r="Z302" s="1113"/>
      <c r="AA302" s="1113"/>
      <c r="AB302" s="1113"/>
      <c r="AC302" s="1113"/>
      <c r="AG302" s="1090"/>
      <c r="AH302" s="1114"/>
    </row>
    <row r="303" spans="3:34" x14ac:dyDescent="0.3">
      <c r="D303" s="1304"/>
      <c r="E303" s="1305"/>
      <c r="F303" s="1306"/>
      <c r="G303" s="1307"/>
      <c r="H303" s="1308"/>
      <c r="I303" s="1309"/>
      <c r="J303" s="1309"/>
      <c r="K303" s="1309"/>
      <c r="L303" s="1309"/>
      <c r="M303" s="1309"/>
      <c r="N303" s="1309"/>
      <c r="O303" s="1309"/>
      <c r="P303" s="1309"/>
      <c r="Q303" s="1309"/>
      <c r="R303" s="1309"/>
      <c r="S303" s="1309"/>
      <c r="T303" s="1309"/>
      <c r="U303" s="1309"/>
      <c r="V303" s="1309"/>
      <c r="W303" s="1063"/>
      <c r="Y303" s="1112"/>
      <c r="Z303" s="1113"/>
      <c r="AA303" s="1113"/>
      <c r="AB303" s="1113"/>
      <c r="AC303" s="1113"/>
      <c r="AG303" s="1090"/>
      <c r="AH303" s="1114"/>
    </row>
    <row r="304" spans="3:34" x14ac:dyDescent="0.3">
      <c r="C304" s="8" t="s">
        <v>180</v>
      </c>
      <c r="E304" s="289" t="str">
        <f>tab!H2</f>
        <v>2026/27</v>
      </c>
      <c r="V304" s="1063"/>
      <c r="W304" s="1063"/>
    </row>
    <row r="305" spans="3:34" x14ac:dyDescent="0.3">
      <c r="C305" s="8" t="s">
        <v>193</v>
      </c>
      <c r="E305" s="289">
        <f>tab!I3</f>
        <v>46296</v>
      </c>
      <c r="V305" s="1063"/>
      <c r="W305" s="1063"/>
    </row>
    <row r="306" spans="3:34" x14ac:dyDescent="0.3">
      <c r="V306" s="1063"/>
      <c r="W306" s="1063"/>
    </row>
    <row r="307" spans="3:34" x14ac:dyDescent="0.3">
      <c r="C307" s="163"/>
      <c r="D307" s="961"/>
      <c r="E307" s="927"/>
      <c r="F307" s="928"/>
      <c r="G307" s="929"/>
      <c r="H307" s="930"/>
      <c r="I307" s="930"/>
      <c r="J307" s="931"/>
      <c r="K307" s="932"/>
      <c r="L307" s="930"/>
      <c r="M307" s="930"/>
      <c r="N307" s="931"/>
      <c r="O307" s="930"/>
      <c r="P307" s="930"/>
      <c r="Q307" s="932"/>
      <c r="R307" s="932"/>
      <c r="S307" s="933"/>
      <c r="T307" s="934"/>
      <c r="U307" s="109"/>
      <c r="V307" s="1063"/>
      <c r="W307" s="1063"/>
      <c r="AE307" s="1077"/>
      <c r="AF307" s="1078"/>
    </row>
    <row r="308" spans="3:34" x14ac:dyDescent="0.3">
      <c r="C308" s="382"/>
      <c r="D308" s="1033" t="s">
        <v>285</v>
      </c>
      <c r="E308" s="1033"/>
      <c r="F308" s="1033"/>
      <c r="G308" s="1033"/>
      <c r="H308" s="1033"/>
      <c r="I308" s="1033"/>
      <c r="J308" s="1033"/>
      <c r="K308" s="1034"/>
      <c r="L308" s="1033" t="s">
        <v>502</v>
      </c>
      <c r="M308" s="1035"/>
      <c r="N308" s="1033"/>
      <c r="O308" s="1033"/>
      <c r="P308" s="1133"/>
      <c r="Q308" s="902"/>
      <c r="R308" s="1033" t="s">
        <v>503</v>
      </c>
      <c r="S308" s="1036"/>
      <c r="T308" s="1134"/>
      <c r="U308" s="1135"/>
      <c r="V308" s="1064"/>
      <c r="W308" s="1064"/>
      <c r="X308" s="384"/>
      <c r="Y308" s="1063"/>
      <c r="Z308" s="1136"/>
      <c r="AD308" s="1137"/>
      <c r="AE308" s="1137"/>
      <c r="AF308" s="1136"/>
      <c r="AG308" s="1090"/>
      <c r="AH308" s="1091"/>
    </row>
    <row r="309" spans="3:34" x14ac:dyDescent="0.3">
      <c r="C309" s="382"/>
      <c r="D309" s="903" t="s">
        <v>494</v>
      </c>
      <c r="E309" s="877" t="s">
        <v>181</v>
      </c>
      <c r="F309" s="904" t="s">
        <v>137</v>
      </c>
      <c r="G309" s="905" t="s">
        <v>273</v>
      </c>
      <c r="H309" s="904" t="s">
        <v>206</v>
      </c>
      <c r="I309" s="904" t="s">
        <v>225</v>
      </c>
      <c r="J309" s="906" t="s">
        <v>140</v>
      </c>
      <c r="K309" s="914"/>
      <c r="L309" s="907" t="s">
        <v>479</v>
      </c>
      <c r="M309" s="907" t="s">
        <v>480</v>
      </c>
      <c r="N309" s="907" t="s">
        <v>478</v>
      </c>
      <c r="O309" s="907" t="s">
        <v>479</v>
      </c>
      <c r="P309" s="1138" t="s">
        <v>504</v>
      </c>
      <c r="Q309" s="881"/>
      <c r="R309" s="1037" t="s">
        <v>192</v>
      </c>
      <c r="S309" s="909" t="s">
        <v>505</v>
      </c>
      <c r="T309" s="910" t="s">
        <v>192</v>
      </c>
      <c r="U309" s="1139"/>
      <c r="V309" s="1101"/>
      <c r="W309" s="1101"/>
      <c r="X309" s="386"/>
      <c r="Y309" s="915" t="s">
        <v>303</v>
      </c>
      <c r="Z309" s="1127" t="s">
        <v>497</v>
      </c>
      <c r="AA309" s="1101" t="s">
        <v>498</v>
      </c>
      <c r="AB309" s="1101" t="s">
        <v>498</v>
      </c>
      <c r="AC309" s="1101" t="s">
        <v>495</v>
      </c>
      <c r="AD309" s="1048" t="s">
        <v>488</v>
      </c>
      <c r="AE309" s="1048" t="s">
        <v>489</v>
      </c>
      <c r="AF309" s="916" t="s">
        <v>490</v>
      </c>
      <c r="AG309" s="1092" t="s">
        <v>297</v>
      </c>
      <c r="AH309" s="1091" t="s">
        <v>427</v>
      </c>
    </row>
    <row r="310" spans="3:34" x14ac:dyDescent="0.3">
      <c r="C310" s="382"/>
      <c r="D310" s="911"/>
      <c r="E310" s="877"/>
      <c r="F310" s="904" t="s">
        <v>138</v>
      </c>
      <c r="G310" s="905" t="s">
        <v>274</v>
      </c>
      <c r="H310" s="904"/>
      <c r="I310" s="904"/>
      <c r="J310" s="906" t="s">
        <v>452</v>
      </c>
      <c r="K310" s="914"/>
      <c r="L310" s="907" t="s">
        <v>482</v>
      </c>
      <c r="M310" s="907" t="s">
        <v>483</v>
      </c>
      <c r="N310" s="907" t="s">
        <v>481</v>
      </c>
      <c r="O310" s="907" t="s">
        <v>493</v>
      </c>
      <c r="P310" s="1138" t="s">
        <v>269</v>
      </c>
      <c r="Q310" s="881"/>
      <c r="R310" s="908" t="s">
        <v>506</v>
      </c>
      <c r="S310" s="909" t="s">
        <v>484</v>
      </c>
      <c r="T310" s="910" t="s">
        <v>269</v>
      </c>
      <c r="U310" s="887"/>
      <c r="V310" s="1063"/>
      <c r="W310" s="1063"/>
      <c r="X310" s="129"/>
      <c r="Y310" s="915" t="s">
        <v>197</v>
      </c>
      <c r="Z310" s="1129">
        <f>tab!B$50</f>
        <v>0.6</v>
      </c>
      <c r="AA310" s="1101" t="s">
        <v>499</v>
      </c>
      <c r="AB310" s="1101" t="s">
        <v>500</v>
      </c>
      <c r="AC310" s="1101" t="s">
        <v>501</v>
      </c>
      <c r="AD310" s="1048" t="s">
        <v>491</v>
      </c>
      <c r="AE310" s="1048" t="s">
        <v>491</v>
      </c>
      <c r="AF310" s="916" t="s">
        <v>492</v>
      </c>
      <c r="AG310" s="1092"/>
      <c r="AH310" s="1093" t="s">
        <v>224</v>
      </c>
    </row>
    <row r="311" spans="3:34" x14ac:dyDescent="0.3">
      <c r="C311" s="114"/>
      <c r="D311" s="912"/>
      <c r="E311" s="912"/>
      <c r="F311" s="912"/>
      <c r="G311" s="912"/>
      <c r="H311" s="912"/>
      <c r="I311" s="912"/>
      <c r="J311" s="912"/>
      <c r="K311" s="913"/>
      <c r="L311" s="912"/>
      <c r="M311" s="912"/>
      <c r="N311" s="912"/>
      <c r="O311" s="912"/>
      <c r="P311" s="912"/>
      <c r="Q311" s="913"/>
      <c r="R311" s="935"/>
      <c r="S311" s="917"/>
      <c r="T311" s="936"/>
      <c r="U311" s="113"/>
      <c r="V311" s="1063"/>
      <c r="W311" s="1063"/>
      <c r="Y311" s="915"/>
      <c r="Z311" s="1064"/>
      <c r="AA311" s="1064"/>
      <c r="AB311" s="1064"/>
      <c r="AC311" s="1064"/>
      <c r="AE311" s="1063"/>
      <c r="AF311" s="1063"/>
      <c r="AG311" s="1092"/>
      <c r="AH311" s="1093"/>
    </row>
    <row r="312" spans="3:34" x14ac:dyDescent="0.3">
      <c r="C312" s="114"/>
      <c r="D312" s="353" t="str">
        <f>IF(obp!D270=0,"",obp!D270)</f>
        <v/>
      </c>
      <c r="E312" s="388" t="str">
        <f>IF(obp!E270=0,"-",obp!E270)</f>
        <v>nn</v>
      </c>
      <c r="F312" s="684" t="str">
        <f>IF(obp!F270="","",obp!F270+1)</f>
        <v/>
      </c>
      <c r="G312" s="710" t="str">
        <f>IF(obp!G270="","",obp!G270)</f>
        <v/>
      </c>
      <c r="H312" s="684">
        <f>IF(obp!H270=0,"",obp!H270)</f>
        <v>8</v>
      </c>
      <c r="I312" s="389">
        <f>IF(J312="","",(IF(obp!I270+1&gt;LOOKUP(H312,schaal2019,regels2019),obp!I270,obp!I270+1)))</f>
        <v>13</v>
      </c>
      <c r="J312" s="711">
        <f>IF(obp!J270="","",obp!J270)</f>
        <v>1</v>
      </c>
      <c r="K312" s="370"/>
      <c r="L312" s="1049">
        <f>IF(obp!L270="","",obp!L270)</f>
        <v>0</v>
      </c>
      <c r="M312" s="1049">
        <f>IF(obp!M270="","",obp!M270)</f>
        <v>0</v>
      </c>
      <c r="N312" s="1051">
        <f t="shared" ref="N312:N341" si="125">IF(J312="","",IF((J312*40)&gt;40,40,((J312*40))))</f>
        <v>40</v>
      </c>
      <c r="O312" s="1051"/>
      <c r="P312" s="1125">
        <f t="shared" ref="P312:P341" si="126">IF(J312="","",(SUM(L312:O312)))</f>
        <v>40</v>
      </c>
      <c r="Q312" s="472"/>
      <c r="R312" s="923">
        <f>IF(J312="","",(((1659*J312)-P312)*AB312))</f>
        <v>62413.181916817368</v>
      </c>
      <c r="S312" s="923">
        <f t="shared" ref="S312:S341" si="127">IF(J312="","",(P312*AC312)+(AA312*AD312)+((AE312*AA312*(1-AF312))))</f>
        <v>1542.0180831826403</v>
      </c>
      <c r="T312" s="925">
        <f t="shared" ref="T312:T341" si="128">IF(J312="","",(R312+S312))</f>
        <v>63955.200000000012</v>
      </c>
      <c r="U312" s="545"/>
      <c r="V312" s="1103"/>
      <c r="W312" s="1103"/>
      <c r="X312" s="1060"/>
      <c r="Y312" s="1095">
        <f t="shared" ref="Y312:Y341" si="129">ROUND(5/12*VLOOKUP(H312,salaris2020,I312+1,FALSE)+7/12*VLOOKUP(H312,salaris2020,I312+1,FALSE),0)</f>
        <v>3331</v>
      </c>
      <c r="Z312" s="1094">
        <f>tab!B$50</f>
        <v>0.6</v>
      </c>
      <c r="AA312" s="1126">
        <f t="shared" ref="AA312:AA341" si="130">(Y312*12/1659)</f>
        <v>24.094032549728752</v>
      </c>
      <c r="AB312" s="1126">
        <f t="shared" ref="AB312:AB341" si="131">(Y312*12*(1+Z312))/1659</f>
        <v>38.550452079566007</v>
      </c>
      <c r="AC312" s="1126">
        <f t="shared" ref="AC312:AC341" si="132">AB312-AA312</f>
        <v>14.456419529837255</v>
      </c>
      <c r="AD312" s="1128">
        <f t="shared" ref="AD312:AD341" si="133">(N312+O312)</f>
        <v>40</v>
      </c>
      <c r="AE312" s="1128">
        <f t="shared" ref="AE312:AE341" si="134">(L312+M312)</f>
        <v>0</v>
      </c>
      <c r="AF312" s="1096">
        <f>IF(H312&gt;8,tab!$B$51,tab!$B$54)</f>
        <v>0.4</v>
      </c>
      <c r="AG312" s="1097">
        <f t="shared" ref="AG312:AG341" si="135">IF(F312&lt;25,0,IF(F312=25,25,IF(F312&lt;40,0,IF(F312=40,40,IF(F312&gt;=40,0)))))</f>
        <v>0</v>
      </c>
      <c r="AH312" s="1093">
        <f t="shared" ref="AH312:AH341" si="136">IF(AG312=25,(Y312*1.08*(J312)/2),IF(AG312=40,(Y312*1.08*(J312)),IF(AG312=0,0)))</f>
        <v>0</v>
      </c>
    </row>
    <row r="313" spans="3:34" x14ac:dyDescent="0.3">
      <c r="C313" s="114"/>
      <c r="D313" s="353" t="str">
        <f>IF(obp!D271=0,"",obp!D271)</f>
        <v/>
      </c>
      <c r="E313" s="388" t="str">
        <f>IF(obp!E271=0,"-",obp!E271)</f>
        <v/>
      </c>
      <c r="F313" s="684" t="str">
        <f>IF(obp!F271="","",obp!F271+1)</f>
        <v/>
      </c>
      <c r="G313" s="710" t="str">
        <f>IF(obp!G271="","",obp!G271)</f>
        <v/>
      </c>
      <c r="H313" s="684" t="str">
        <f>IF(obp!H271=0,"",obp!H271)</f>
        <v/>
      </c>
      <c r="I313" s="389" t="str">
        <f>IF(J313="","",(IF(obp!I271+1&gt;LOOKUP(H313,schaal2019,regels2019),obp!I271,obp!I271+1)))</f>
        <v/>
      </c>
      <c r="J313" s="711" t="str">
        <f>IF(obp!J271="","",obp!J271)</f>
        <v/>
      </c>
      <c r="K313" s="370"/>
      <c r="L313" s="1049">
        <f>IF(obp!L271="","",obp!L271)</f>
        <v>0</v>
      </c>
      <c r="M313" s="1049">
        <f>IF(obp!M271="","",obp!M271)</f>
        <v>0</v>
      </c>
      <c r="N313" s="1051" t="str">
        <f t="shared" si="125"/>
        <v/>
      </c>
      <c r="O313" s="1051"/>
      <c r="P313" s="1125" t="str">
        <f t="shared" si="126"/>
        <v/>
      </c>
      <c r="Q313" s="472"/>
      <c r="R313" s="923" t="str">
        <f t="shared" ref="R313:R341" si="137">IF(J313="","",(((1659*J313)-P313)*AB313))</f>
        <v/>
      </c>
      <c r="S313" s="923" t="str">
        <f t="shared" si="127"/>
        <v/>
      </c>
      <c r="T313" s="925" t="str">
        <f t="shared" si="128"/>
        <v/>
      </c>
      <c r="U313" s="545"/>
      <c r="V313" s="1103"/>
      <c r="W313" s="1103"/>
      <c r="X313" s="1060"/>
      <c r="Y313" s="1095" t="e">
        <f t="shared" si="129"/>
        <v>#VALUE!</v>
      </c>
      <c r="Z313" s="1094">
        <f>tab!B$50</f>
        <v>0.6</v>
      </c>
      <c r="AA313" s="1126" t="e">
        <f t="shared" si="130"/>
        <v>#VALUE!</v>
      </c>
      <c r="AB313" s="1126" t="e">
        <f t="shared" si="131"/>
        <v>#VALUE!</v>
      </c>
      <c r="AC313" s="1126" t="e">
        <f t="shared" si="132"/>
        <v>#VALUE!</v>
      </c>
      <c r="AD313" s="1128" t="e">
        <f t="shared" si="133"/>
        <v>#VALUE!</v>
      </c>
      <c r="AE313" s="1128">
        <f t="shared" si="134"/>
        <v>0</v>
      </c>
      <c r="AF313" s="1096">
        <f>IF(H313&gt;8,tab!$B$51,tab!$B$54)</f>
        <v>0.5</v>
      </c>
      <c r="AG313" s="1097">
        <f t="shared" si="135"/>
        <v>0</v>
      </c>
      <c r="AH313" s="1093">
        <f t="shared" si="136"/>
        <v>0</v>
      </c>
    </row>
    <row r="314" spans="3:34" x14ac:dyDescent="0.3">
      <c r="C314" s="114"/>
      <c r="D314" s="353" t="str">
        <f>IF(obp!D272=0,"",obp!D272)</f>
        <v/>
      </c>
      <c r="E314" s="388" t="str">
        <f>IF(obp!E272=0,"-",obp!E272)</f>
        <v/>
      </c>
      <c r="F314" s="684" t="str">
        <f>IF(obp!F272="","",obp!F272+1)</f>
        <v/>
      </c>
      <c r="G314" s="710" t="str">
        <f>IF(obp!G272="","",obp!G272)</f>
        <v/>
      </c>
      <c r="H314" s="684" t="str">
        <f>IF(obp!H272=0,"",obp!H272)</f>
        <v/>
      </c>
      <c r="I314" s="389" t="str">
        <f>IF(J314="","",(IF(obp!I272+1&gt;LOOKUP(H314,schaal2019,regels2019),obp!I272,obp!I272+1)))</f>
        <v/>
      </c>
      <c r="J314" s="711" t="str">
        <f>IF(obp!J272="","",obp!J272)</f>
        <v/>
      </c>
      <c r="K314" s="370"/>
      <c r="L314" s="1049">
        <f>IF(obp!L272="","",obp!L272)</f>
        <v>0</v>
      </c>
      <c r="M314" s="1049">
        <f>IF(obp!M272="","",obp!M272)</f>
        <v>0</v>
      </c>
      <c r="N314" s="1051" t="str">
        <f t="shared" si="125"/>
        <v/>
      </c>
      <c r="O314" s="1051"/>
      <c r="P314" s="1125" t="str">
        <f t="shared" si="126"/>
        <v/>
      </c>
      <c r="Q314" s="472"/>
      <c r="R314" s="923" t="str">
        <f t="shared" si="137"/>
        <v/>
      </c>
      <c r="S314" s="923" t="str">
        <f t="shared" si="127"/>
        <v/>
      </c>
      <c r="T314" s="925" t="str">
        <f t="shared" si="128"/>
        <v/>
      </c>
      <c r="U314" s="545"/>
      <c r="V314" s="1103"/>
      <c r="W314" s="1103"/>
      <c r="X314" s="1060"/>
      <c r="Y314" s="1095" t="e">
        <f t="shared" si="129"/>
        <v>#VALUE!</v>
      </c>
      <c r="Z314" s="1094">
        <f>tab!B$50</f>
        <v>0.6</v>
      </c>
      <c r="AA314" s="1126" t="e">
        <f t="shared" si="130"/>
        <v>#VALUE!</v>
      </c>
      <c r="AB314" s="1126" t="e">
        <f t="shared" si="131"/>
        <v>#VALUE!</v>
      </c>
      <c r="AC314" s="1126" t="e">
        <f t="shared" si="132"/>
        <v>#VALUE!</v>
      </c>
      <c r="AD314" s="1128" t="e">
        <f t="shared" si="133"/>
        <v>#VALUE!</v>
      </c>
      <c r="AE314" s="1128">
        <f t="shared" si="134"/>
        <v>0</v>
      </c>
      <c r="AF314" s="1096">
        <f>IF(H314&gt;8,tab!$B$51,tab!$B$54)</f>
        <v>0.5</v>
      </c>
      <c r="AG314" s="1097">
        <f t="shared" si="135"/>
        <v>0</v>
      </c>
      <c r="AH314" s="1093">
        <f t="shared" si="136"/>
        <v>0</v>
      </c>
    </row>
    <row r="315" spans="3:34" x14ac:dyDescent="0.3">
      <c r="C315" s="114"/>
      <c r="D315" s="353" t="str">
        <f>IF(obp!D273=0,"",obp!D273)</f>
        <v/>
      </c>
      <c r="E315" s="388" t="str">
        <f>IF(obp!E273=0,"-",obp!E273)</f>
        <v/>
      </c>
      <c r="F315" s="684" t="str">
        <f>IF(obp!F273="","",obp!F273+1)</f>
        <v/>
      </c>
      <c r="G315" s="710" t="str">
        <f>IF(obp!G273="","",obp!G273)</f>
        <v/>
      </c>
      <c r="H315" s="684" t="str">
        <f>IF(obp!H273=0,"",obp!H273)</f>
        <v/>
      </c>
      <c r="I315" s="389" t="str">
        <f>IF(J315="","",(IF(obp!I273+1&gt;LOOKUP(H315,schaal2019,regels2019),obp!I273,obp!I273+1)))</f>
        <v/>
      </c>
      <c r="J315" s="711" t="str">
        <f>IF(obp!J273="","",obp!J273)</f>
        <v/>
      </c>
      <c r="K315" s="370"/>
      <c r="L315" s="1049">
        <f>IF(obp!L273="","",obp!L273)</f>
        <v>0</v>
      </c>
      <c r="M315" s="1049">
        <f>IF(obp!M273="","",obp!M273)</f>
        <v>0</v>
      </c>
      <c r="N315" s="1051" t="str">
        <f t="shared" si="125"/>
        <v/>
      </c>
      <c r="O315" s="1051"/>
      <c r="P315" s="1125" t="str">
        <f t="shared" si="126"/>
        <v/>
      </c>
      <c r="Q315" s="472"/>
      <c r="R315" s="923" t="str">
        <f t="shared" si="137"/>
        <v/>
      </c>
      <c r="S315" s="923" t="str">
        <f t="shared" si="127"/>
        <v/>
      </c>
      <c r="T315" s="925" t="str">
        <f t="shared" si="128"/>
        <v/>
      </c>
      <c r="U315" s="545"/>
      <c r="V315" s="1103"/>
      <c r="W315" s="1103"/>
      <c r="X315" s="1060"/>
      <c r="Y315" s="1095" t="e">
        <f t="shared" si="129"/>
        <v>#VALUE!</v>
      </c>
      <c r="Z315" s="1094">
        <f>tab!B$50</f>
        <v>0.6</v>
      </c>
      <c r="AA315" s="1126" t="e">
        <f t="shared" si="130"/>
        <v>#VALUE!</v>
      </c>
      <c r="AB315" s="1126" t="e">
        <f t="shared" si="131"/>
        <v>#VALUE!</v>
      </c>
      <c r="AC315" s="1126" t="e">
        <f t="shared" si="132"/>
        <v>#VALUE!</v>
      </c>
      <c r="AD315" s="1128" t="e">
        <f t="shared" si="133"/>
        <v>#VALUE!</v>
      </c>
      <c r="AE315" s="1128">
        <f t="shared" si="134"/>
        <v>0</v>
      </c>
      <c r="AF315" s="1096">
        <f>IF(H315&gt;8,tab!$B$51,tab!$B$54)</f>
        <v>0.5</v>
      </c>
      <c r="AG315" s="1097">
        <f t="shared" si="135"/>
        <v>0</v>
      </c>
      <c r="AH315" s="1093">
        <f t="shared" si="136"/>
        <v>0</v>
      </c>
    </row>
    <row r="316" spans="3:34" x14ac:dyDescent="0.3">
      <c r="C316" s="114"/>
      <c r="D316" s="353" t="str">
        <f>IF(obp!D274=0,"",obp!D274)</f>
        <v/>
      </c>
      <c r="E316" s="388" t="str">
        <f>IF(obp!E274=0,"-",obp!E274)</f>
        <v/>
      </c>
      <c r="F316" s="684" t="str">
        <f>IF(obp!F274="","",obp!F274+1)</f>
        <v/>
      </c>
      <c r="G316" s="710" t="str">
        <f>IF(obp!G274="","",obp!G274)</f>
        <v/>
      </c>
      <c r="H316" s="684" t="str">
        <f>IF(obp!H274=0,"",obp!H274)</f>
        <v/>
      </c>
      <c r="I316" s="389" t="str">
        <f>IF(J316="","",(IF(obp!I274+1&gt;LOOKUP(H316,schaal2019,regels2019),obp!I274,obp!I274+1)))</f>
        <v/>
      </c>
      <c r="J316" s="711" t="str">
        <f>IF(obp!J274="","",obp!J274)</f>
        <v/>
      </c>
      <c r="K316" s="370"/>
      <c r="L316" s="1049">
        <f>IF(obp!L274="","",obp!L274)</f>
        <v>0</v>
      </c>
      <c r="M316" s="1049">
        <f>IF(obp!M274="","",obp!M274)</f>
        <v>0</v>
      </c>
      <c r="N316" s="1051" t="str">
        <f t="shared" si="125"/>
        <v/>
      </c>
      <c r="O316" s="1051"/>
      <c r="P316" s="1125" t="str">
        <f t="shared" si="126"/>
        <v/>
      </c>
      <c r="Q316" s="472"/>
      <c r="R316" s="923" t="str">
        <f t="shared" si="137"/>
        <v/>
      </c>
      <c r="S316" s="923" t="str">
        <f t="shared" si="127"/>
        <v/>
      </c>
      <c r="T316" s="925" t="str">
        <f t="shared" si="128"/>
        <v/>
      </c>
      <c r="U316" s="545"/>
      <c r="V316" s="1103"/>
      <c r="W316" s="1103"/>
      <c r="X316" s="1060"/>
      <c r="Y316" s="1095" t="e">
        <f t="shared" si="129"/>
        <v>#VALUE!</v>
      </c>
      <c r="Z316" s="1094">
        <f>tab!B$50</f>
        <v>0.6</v>
      </c>
      <c r="AA316" s="1126" t="e">
        <f t="shared" si="130"/>
        <v>#VALUE!</v>
      </c>
      <c r="AB316" s="1126" t="e">
        <f t="shared" si="131"/>
        <v>#VALUE!</v>
      </c>
      <c r="AC316" s="1126" t="e">
        <f t="shared" si="132"/>
        <v>#VALUE!</v>
      </c>
      <c r="AD316" s="1128" t="e">
        <f t="shared" si="133"/>
        <v>#VALUE!</v>
      </c>
      <c r="AE316" s="1128">
        <f t="shared" si="134"/>
        <v>0</v>
      </c>
      <c r="AF316" s="1096">
        <f>IF(H316&gt;8,tab!$B$51,tab!$B$54)</f>
        <v>0.5</v>
      </c>
      <c r="AG316" s="1097">
        <f t="shared" si="135"/>
        <v>0</v>
      </c>
      <c r="AH316" s="1093">
        <f t="shared" si="136"/>
        <v>0</v>
      </c>
    </row>
    <row r="317" spans="3:34" x14ac:dyDescent="0.3">
      <c r="C317" s="114"/>
      <c r="D317" s="353" t="str">
        <f>IF(obp!D275=0,"",obp!D275)</f>
        <v/>
      </c>
      <c r="E317" s="388" t="str">
        <f>IF(obp!E275=0,"-",obp!E275)</f>
        <v/>
      </c>
      <c r="F317" s="684" t="str">
        <f>IF(obp!F275="","",obp!F275+1)</f>
        <v/>
      </c>
      <c r="G317" s="710" t="str">
        <f>IF(obp!G275="","",obp!G275)</f>
        <v/>
      </c>
      <c r="H317" s="684" t="str">
        <f>IF(obp!H275=0,"",obp!H275)</f>
        <v/>
      </c>
      <c r="I317" s="389" t="str">
        <f>IF(J317="","",(IF(obp!I275+1&gt;LOOKUP(H317,schaal2019,regels2019),obp!I275,obp!I275+1)))</f>
        <v/>
      </c>
      <c r="J317" s="711" t="str">
        <f>IF(obp!J275="","",obp!J275)</f>
        <v/>
      </c>
      <c r="K317" s="370"/>
      <c r="L317" s="1049">
        <f>IF(obp!L275="","",obp!L275)</f>
        <v>0</v>
      </c>
      <c r="M317" s="1049">
        <f>IF(obp!M275="","",obp!M275)</f>
        <v>0</v>
      </c>
      <c r="N317" s="1051" t="str">
        <f t="shared" si="125"/>
        <v/>
      </c>
      <c r="O317" s="1051"/>
      <c r="P317" s="1125" t="str">
        <f t="shared" si="126"/>
        <v/>
      </c>
      <c r="Q317" s="472"/>
      <c r="R317" s="923" t="str">
        <f t="shared" si="137"/>
        <v/>
      </c>
      <c r="S317" s="923" t="str">
        <f t="shared" si="127"/>
        <v/>
      </c>
      <c r="T317" s="925" t="str">
        <f t="shared" si="128"/>
        <v/>
      </c>
      <c r="U317" s="545"/>
      <c r="V317" s="1103"/>
      <c r="W317" s="1103"/>
      <c r="X317" s="1060"/>
      <c r="Y317" s="1095" t="e">
        <f t="shared" si="129"/>
        <v>#VALUE!</v>
      </c>
      <c r="Z317" s="1094">
        <f>tab!B$50</f>
        <v>0.6</v>
      </c>
      <c r="AA317" s="1126" t="e">
        <f t="shared" si="130"/>
        <v>#VALUE!</v>
      </c>
      <c r="AB317" s="1126" t="e">
        <f t="shared" si="131"/>
        <v>#VALUE!</v>
      </c>
      <c r="AC317" s="1126" t="e">
        <f t="shared" si="132"/>
        <v>#VALUE!</v>
      </c>
      <c r="AD317" s="1128" t="e">
        <f t="shared" si="133"/>
        <v>#VALUE!</v>
      </c>
      <c r="AE317" s="1128">
        <f t="shared" si="134"/>
        <v>0</v>
      </c>
      <c r="AF317" s="1096">
        <f>IF(H317&gt;8,tab!$B$51,tab!$B$54)</f>
        <v>0.5</v>
      </c>
      <c r="AG317" s="1097">
        <f t="shared" si="135"/>
        <v>0</v>
      </c>
      <c r="AH317" s="1093">
        <f t="shared" si="136"/>
        <v>0</v>
      </c>
    </row>
    <row r="318" spans="3:34" x14ac:dyDescent="0.3">
      <c r="C318" s="114"/>
      <c r="D318" s="353" t="str">
        <f>IF(obp!D276=0,"",obp!D276)</f>
        <v/>
      </c>
      <c r="E318" s="388" t="str">
        <f>IF(obp!E276=0,"-",obp!E276)</f>
        <v/>
      </c>
      <c r="F318" s="684" t="str">
        <f>IF(obp!F276="","",obp!F276+1)</f>
        <v/>
      </c>
      <c r="G318" s="710" t="str">
        <f>IF(obp!G276="","",obp!G276)</f>
        <v/>
      </c>
      <c r="H318" s="684" t="str">
        <f>IF(obp!H276=0,"",obp!H276)</f>
        <v/>
      </c>
      <c r="I318" s="389" t="str">
        <f>IF(J318="","",(IF(obp!I276+1&gt;LOOKUP(H318,schaal2019,regels2019),obp!I276,obp!I276+1)))</f>
        <v/>
      </c>
      <c r="J318" s="711" t="str">
        <f>IF(obp!J276="","",obp!J276)</f>
        <v/>
      </c>
      <c r="K318" s="370"/>
      <c r="L318" s="1049">
        <f>IF(obp!L276="","",obp!L276)</f>
        <v>0</v>
      </c>
      <c r="M318" s="1049">
        <f>IF(obp!M276="","",obp!M276)</f>
        <v>0</v>
      </c>
      <c r="N318" s="1051" t="str">
        <f t="shared" si="125"/>
        <v/>
      </c>
      <c r="O318" s="1051"/>
      <c r="P318" s="1125" t="str">
        <f t="shared" si="126"/>
        <v/>
      </c>
      <c r="Q318" s="472"/>
      <c r="R318" s="923" t="str">
        <f t="shared" si="137"/>
        <v/>
      </c>
      <c r="S318" s="923" t="str">
        <f t="shared" si="127"/>
        <v/>
      </c>
      <c r="T318" s="925" t="str">
        <f t="shared" si="128"/>
        <v/>
      </c>
      <c r="U318" s="545"/>
      <c r="V318" s="1103"/>
      <c r="W318" s="1103"/>
      <c r="X318" s="1060"/>
      <c r="Y318" s="1095" t="e">
        <f t="shared" si="129"/>
        <v>#VALUE!</v>
      </c>
      <c r="Z318" s="1094">
        <f>tab!B$50</f>
        <v>0.6</v>
      </c>
      <c r="AA318" s="1126" t="e">
        <f t="shared" si="130"/>
        <v>#VALUE!</v>
      </c>
      <c r="AB318" s="1126" t="e">
        <f t="shared" si="131"/>
        <v>#VALUE!</v>
      </c>
      <c r="AC318" s="1126" t="e">
        <f t="shared" si="132"/>
        <v>#VALUE!</v>
      </c>
      <c r="AD318" s="1128" t="e">
        <f t="shared" si="133"/>
        <v>#VALUE!</v>
      </c>
      <c r="AE318" s="1128">
        <f t="shared" si="134"/>
        <v>0</v>
      </c>
      <c r="AF318" s="1096">
        <f>IF(H318&gt;8,tab!$B$51,tab!$B$54)</f>
        <v>0.5</v>
      </c>
      <c r="AG318" s="1097">
        <f t="shared" si="135"/>
        <v>0</v>
      </c>
      <c r="AH318" s="1093">
        <f t="shared" si="136"/>
        <v>0</v>
      </c>
    </row>
    <row r="319" spans="3:34" x14ac:dyDescent="0.3">
      <c r="C319" s="114"/>
      <c r="D319" s="353" t="str">
        <f>IF(obp!D277=0,"",obp!D277)</f>
        <v/>
      </c>
      <c r="E319" s="388" t="str">
        <f>IF(obp!E277=0,"-",obp!E277)</f>
        <v/>
      </c>
      <c r="F319" s="684" t="str">
        <f>IF(obp!F277="","",obp!F277+1)</f>
        <v/>
      </c>
      <c r="G319" s="710" t="str">
        <f>IF(obp!G277="","",obp!G277)</f>
        <v/>
      </c>
      <c r="H319" s="684" t="str">
        <f>IF(obp!H277=0,"",obp!H277)</f>
        <v/>
      </c>
      <c r="I319" s="389" t="str">
        <f>IF(J319="","",(IF(obp!I277+1&gt;LOOKUP(H319,schaal2019,regels2019),obp!I277,obp!I277+1)))</f>
        <v/>
      </c>
      <c r="J319" s="711" t="str">
        <f>IF(obp!J277="","",obp!J277)</f>
        <v/>
      </c>
      <c r="K319" s="370"/>
      <c r="L319" s="1049">
        <f>IF(obp!L277="","",obp!L277)</f>
        <v>0</v>
      </c>
      <c r="M319" s="1049">
        <f>IF(obp!M277="","",obp!M277)</f>
        <v>0</v>
      </c>
      <c r="N319" s="1051" t="str">
        <f t="shared" si="125"/>
        <v/>
      </c>
      <c r="O319" s="1051"/>
      <c r="P319" s="1125" t="str">
        <f t="shared" si="126"/>
        <v/>
      </c>
      <c r="Q319" s="472"/>
      <c r="R319" s="923" t="str">
        <f t="shared" si="137"/>
        <v/>
      </c>
      <c r="S319" s="923" t="str">
        <f t="shared" si="127"/>
        <v/>
      </c>
      <c r="T319" s="925" t="str">
        <f t="shared" si="128"/>
        <v/>
      </c>
      <c r="U319" s="545"/>
      <c r="V319" s="1103"/>
      <c r="W319" s="1103"/>
      <c r="X319" s="1060"/>
      <c r="Y319" s="1095" t="e">
        <f t="shared" si="129"/>
        <v>#VALUE!</v>
      </c>
      <c r="Z319" s="1094">
        <f>tab!B$50</f>
        <v>0.6</v>
      </c>
      <c r="AA319" s="1126" t="e">
        <f t="shared" si="130"/>
        <v>#VALUE!</v>
      </c>
      <c r="AB319" s="1126" t="e">
        <f t="shared" si="131"/>
        <v>#VALUE!</v>
      </c>
      <c r="AC319" s="1126" t="e">
        <f t="shared" si="132"/>
        <v>#VALUE!</v>
      </c>
      <c r="AD319" s="1128" t="e">
        <f t="shared" si="133"/>
        <v>#VALUE!</v>
      </c>
      <c r="AE319" s="1128">
        <f t="shared" si="134"/>
        <v>0</v>
      </c>
      <c r="AF319" s="1096">
        <f>IF(H319&gt;8,tab!$B$51,tab!$B$54)</f>
        <v>0.5</v>
      </c>
      <c r="AG319" s="1097">
        <f t="shared" si="135"/>
        <v>0</v>
      </c>
      <c r="AH319" s="1093">
        <f t="shared" si="136"/>
        <v>0</v>
      </c>
    </row>
    <row r="320" spans="3:34" ht="12" customHeight="1" x14ac:dyDescent="0.3">
      <c r="C320" s="114"/>
      <c r="D320" s="353" t="str">
        <f>IF(obp!D278=0,"",obp!D278)</f>
        <v/>
      </c>
      <c r="E320" s="388" t="str">
        <f>IF(obp!E278=0,"-",obp!E278)</f>
        <v/>
      </c>
      <c r="F320" s="684" t="str">
        <f>IF(obp!F278="","",obp!F278+1)</f>
        <v/>
      </c>
      <c r="G320" s="710" t="str">
        <f>IF(obp!G278="","",obp!G278)</f>
        <v/>
      </c>
      <c r="H320" s="684" t="str">
        <f>IF(obp!H278=0,"",obp!H278)</f>
        <v/>
      </c>
      <c r="I320" s="389" t="str">
        <f>IF(J320="","",(IF(obp!I278+1&gt;LOOKUP(H320,schaal2019,regels2019),obp!I278,obp!I278+1)))</f>
        <v/>
      </c>
      <c r="J320" s="711" t="str">
        <f>IF(obp!J278="","",obp!J278)</f>
        <v/>
      </c>
      <c r="K320" s="370"/>
      <c r="L320" s="1049">
        <f>IF(obp!L278="","",obp!L278)</f>
        <v>0</v>
      </c>
      <c r="M320" s="1049">
        <f>IF(obp!M278="","",obp!M278)</f>
        <v>0</v>
      </c>
      <c r="N320" s="1051" t="str">
        <f t="shared" si="125"/>
        <v/>
      </c>
      <c r="O320" s="1051"/>
      <c r="P320" s="1125" t="str">
        <f t="shared" si="126"/>
        <v/>
      </c>
      <c r="Q320" s="472"/>
      <c r="R320" s="923" t="str">
        <f t="shared" si="137"/>
        <v/>
      </c>
      <c r="S320" s="923" t="str">
        <f t="shared" si="127"/>
        <v/>
      </c>
      <c r="T320" s="925" t="str">
        <f t="shared" si="128"/>
        <v/>
      </c>
      <c r="U320" s="545"/>
      <c r="V320" s="1103"/>
      <c r="W320" s="1103"/>
      <c r="X320" s="1060"/>
      <c r="Y320" s="1095" t="e">
        <f t="shared" si="129"/>
        <v>#VALUE!</v>
      </c>
      <c r="Z320" s="1094">
        <f>tab!B$50</f>
        <v>0.6</v>
      </c>
      <c r="AA320" s="1126" t="e">
        <f t="shared" si="130"/>
        <v>#VALUE!</v>
      </c>
      <c r="AB320" s="1126" t="e">
        <f t="shared" si="131"/>
        <v>#VALUE!</v>
      </c>
      <c r="AC320" s="1126" t="e">
        <f t="shared" si="132"/>
        <v>#VALUE!</v>
      </c>
      <c r="AD320" s="1128" t="e">
        <f t="shared" si="133"/>
        <v>#VALUE!</v>
      </c>
      <c r="AE320" s="1128">
        <f t="shared" si="134"/>
        <v>0</v>
      </c>
      <c r="AF320" s="1096">
        <f>IF(H320&gt;8,tab!$B$51,tab!$B$54)</f>
        <v>0.5</v>
      </c>
      <c r="AG320" s="1097">
        <f t="shared" si="135"/>
        <v>0</v>
      </c>
      <c r="AH320" s="1093">
        <f t="shared" si="136"/>
        <v>0</v>
      </c>
    </row>
    <row r="321" spans="3:34" x14ac:dyDescent="0.3">
      <c r="C321" s="114"/>
      <c r="D321" s="353" t="str">
        <f>IF(obp!D279=0,"",obp!D279)</f>
        <v/>
      </c>
      <c r="E321" s="388" t="str">
        <f>IF(obp!E279=0,"-",obp!E279)</f>
        <v/>
      </c>
      <c r="F321" s="684" t="str">
        <f>IF(obp!F279="","",obp!F279+1)</f>
        <v/>
      </c>
      <c r="G321" s="710" t="str">
        <f>IF(obp!G279="","",obp!G279)</f>
        <v/>
      </c>
      <c r="H321" s="684" t="str">
        <f>IF(obp!H279=0,"",obp!H279)</f>
        <v/>
      </c>
      <c r="I321" s="389" t="str">
        <f>IF(J321="","",(IF(obp!I279+1&gt;LOOKUP(H321,schaal2019,regels2019),obp!I279,obp!I279+1)))</f>
        <v/>
      </c>
      <c r="J321" s="711" t="str">
        <f>IF(obp!J279="","",obp!J279)</f>
        <v/>
      </c>
      <c r="K321" s="370"/>
      <c r="L321" s="1049">
        <f>IF(obp!L279="","",obp!L279)</f>
        <v>0</v>
      </c>
      <c r="M321" s="1049">
        <f>IF(obp!M279="","",obp!M279)</f>
        <v>0</v>
      </c>
      <c r="N321" s="1051" t="str">
        <f t="shared" si="125"/>
        <v/>
      </c>
      <c r="O321" s="1051"/>
      <c r="P321" s="1125" t="str">
        <f t="shared" si="126"/>
        <v/>
      </c>
      <c r="Q321" s="472"/>
      <c r="R321" s="923" t="str">
        <f t="shared" si="137"/>
        <v/>
      </c>
      <c r="S321" s="923" t="str">
        <f t="shared" si="127"/>
        <v/>
      </c>
      <c r="T321" s="925" t="str">
        <f t="shared" si="128"/>
        <v/>
      </c>
      <c r="U321" s="545"/>
      <c r="V321" s="1103"/>
      <c r="W321" s="1103"/>
      <c r="X321" s="1060"/>
      <c r="Y321" s="1095" t="e">
        <f t="shared" si="129"/>
        <v>#VALUE!</v>
      </c>
      <c r="Z321" s="1094">
        <f>tab!B$50</f>
        <v>0.6</v>
      </c>
      <c r="AA321" s="1126" t="e">
        <f t="shared" si="130"/>
        <v>#VALUE!</v>
      </c>
      <c r="AB321" s="1126" t="e">
        <f t="shared" si="131"/>
        <v>#VALUE!</v>
      </c>
      <c r="AC321" s="1126" t="e">
        <f t="shared" si="132"/>
        <v>#VALUE!</v>
      </c>
      <c r="AD321" s="1128" t="e">
        <f t="shared" si="133"/>
        <v>#VALUE!</v>
      </c>
      <c r="AE321" s="1128">
        <f t="shared" si="134"/>
        <v>0</v>
      </c>
      <c r="AF321" s="1096">
        <f>IF(H321&gt;8,tab!$B$51,tab!$B$54)</f>
        <v>0.5</v>
      </c>
      <c r="AG321" s="1097">
        <f t="shared" si="135"/>
        <v>0</v>
      </c>
      <c r="AH321" s="1093">
        <f t="shared" si="136"/>
        <v>0</v>
      </c>
    </row>
    <row r="322" spans="3:34" x14ac:dyDescent="0.3">
      <c r="C322" s="114"/>
      <c r="D322" s="353" t="str">
        <f>IF(obp!D280=0,"",obp!D280)</f>
        <v/>
      </c>
      <c r="E322" s="388" t="str">
        <f>IF(obp!E280=0,"-",obp!E280)</f>
        <v/>
      </c>
      <c r="F322" s="684" t="str">
        <f>IF(obp!F280="","",obp!F280+1)</f>
        <v/>
      </c>
      <c r="G322" s="710" t="str">
        <f>IF(obp!G280="","",obp!G280)</f>
        <v/>
      </c>
      <c r="H322" s="684" t="str">
        <f>IF(obp!H280=0,"",obp!H280)</f>
        <v/>
      </c>
      <c r="I322" s="389" t="str">
        <f>IF(J322="","",(IF(obp!I280+1&gt;LOOKUP(H322,schaal2019,regels2019),obp!I280,obp!I280+1)))</f>
        <v/>
      </c>
      <c r="J322" s="711" t="str">
        <f>IF(obp!J280="","",obp!J280)</f>
        <v/>
      </c>
      <c r="K322" s="370"/>
      <c r="L322" s="1049">
        <f>IF(obp!L280="","",obp!L280)</f>
        <v>0</v>
      </c>
      <c r="M322" s="1049">
        <f>IF(obp!M280="","",obp!M280)</f>
        <v>0</v>
      </c>
      <c r="N322" s="1051" t="str">
        <f t="shared" si="125"/>
        <v/>
      </c>
      <c r="O322" s="1051"/>
      <c r="P322" s="1125" t="str">
        <f t="shared" si="126"/>
        <v/>
      </c>
      <c r="Q322" s="472"/>
      <c r="R322" s="923" t="str">
        <f t="shared" si="137"/>
        <v/>
      </c>
      <c r="S322" s="923" t="str">
        <f t="shared" si="127"/>
        <v/>
      </c>
      <c r="T322" s="925" t="str">
        <f t="shared" si="128"/>
        <v/>
      </c>
      <c r="U322" s="545"/>
      <c r="V322" s="1103"/>
      <c r="W322" s="1103"/>
      <c r="X322" s="1060"/>
      <c r="Y322" s="1095" t="e">
        <f t="shared" si="129"/>
        <v>#VALUE!</v>
      </c>
      <c r="Z322" s="1094">
        <f>tab!B$50</f>
        <v>0.6</v>
      </c>
      <c r="AA322" s="1126" t="e">
        <f t="shared" si="130"/>
        <v>#VALUE!</v>
      </c>
      <c r="AB322" s="1126" t="e">
        <f t="shared" si="131"/>
        <v>#VALUE!</v>
      </c>
      <c r="AC322" s="1126" t="e">
        <f t="shared" si="132"/>
        <v>#VALUE!</v>
      </c>
      <c r="AD322" s="1128" t="e">
        <f t="shared" si="133"/>
        <v>#VALUE!</v>
      </c>
      <c r="AE322" s="1128">
        <f t="shared" si="134"/>
        <v>0</v>
      </c>
      <c r="AF322" s="1096">
        <f>IF(H322&gt;8,tab!$B$51,tab!$B$54)</f>
        <v>0.5</v>
      </c>
      <c r="AG322" s="1097">
        <f t="shared" si="135"/>
        <v>0</v>
      </c>
      <c r="AH322" s="1093">
        <f t="shared" si="136"/>
        <v>0</v>
      </c>
    </row>
    <row r="323" spans="3:34" x14ac:dyDescent="0.3">
      <c r="C323" s="114"/>
      <c r="D323" s="353" t="str">
        <f>IF(obp!D281=0,"",obp!D281)</f>
        <v/>
      </c>
      <c r="E323" s="388" t="str">
        <f>IF(obp!E281=0,"-",obp!E281)</f>
        <v/>
      </c>
      <c r="F323" s="684" t="str">
        <f>IF(obp!F281="","",obp!F281+1)</f>
        <v/>
      </c>
      <c r="G323" s="710" t="str">
        <f>IF(obp!G281="","",obp!G281)</f>
        <v/>
      </c>
      <c r="H323" s="684" t="str">
        <f>IF(obp!H281=0,"",obp!H281)</f>
        <v/>
      </c>
      <c r="I323" s="389" t="str">
        <f>IF(J323="","",(IF(obp!I281+1&gt;LOOKUP(H323,schaal2019,regels2019),obp!I281,obp!I281+1)))</f>
        <v/>
      </c>
      <c r="J323" s="711" t="str">
        <f>IF(obp!J281="","",obp!J281)</f>
        <v/>
      </c>
      <c r="K323" s="370"/>
      <c r="L323" s="1049">
        <f>IF(obp!L281="","",obp!L281)</f>
        <v>0</v>
      </c>
      <c r="M323" s="1049">
        <f>IF(obp!M281="","",obp!M281)</f>
        <v>0</v>
      </c>
      <c r="N323" s="1051" t="str">
        <f t="shared" si="125"/>
        <v/>
      </c>
      <c r="O323" s="1051"/>
      <c r="P323" s="1125" t="str">
        <f t="shared" si="126"/>
        <v/>
      </c>
      <c r="Q323" s="472"/>
      <c r="R323" s="923" t="str">
        <f t="shared" si="137"/>
        <v/>
      </c>
      <c r="S323" s="923" t="str">
        <f t="shared" si="127"/>
        <v/>
      </c>
      <c r="T323" s="925" t="str">
        <f t="shared" si="128"/>
        <v/>
      </c>
      <c r="U323" s="545"/>
      <c r="V323" s="1103"/>
      <c r="W323" s="1103"/>
      <c r="X323" s="1060"/>
      <c r="Y323" s="1095" t="e">
        <f t="shared" si="129"/>
        <v>#VALUE!</v>
      </c>
      <c r="Z323" s="1094">
        <f>tab!B$50</f>
        <v>0.6</v>
      </c>
      <c r="AA323" s="1126" t="e">
        <f t="shared" si="130"/>
        <v>#VALUE!</v>
      </c>
      <c r="AB323" s="1126" t="e">
        <f t="shared" si="131"/>
        <v>#VALUE!</v>
      </c>
      <c r="AC323" s="1126" t="e">
        <f t="shared" si="132"/>
        <v>#VALUE!</v>
      </c>
      <c r="AD323" s="1128" t="e">
        <f t="shared" si="133"/>
        <v>#VALUE!</v>
      </c>
      <c r="AE323" s="1128">
        <f t="shared" si="134"/>
        <v>0</v>
      </c>
      <c r="AF323" s="1096">
        <f>IF(H323&gt;8,tab!$B$51,tab!$B$54)</f>
        <v>0.5</v>
      </c>
      <c r="AG323" s="1097">
        <f t="shared" si="135"/>
        <v>0</v>
      </c>
      <c r="AH323" s="1093">
        <f t="shared" si="136"/>
        <v>0</v>
      </c>
    </row>
    <row r="324" spans="3:34" x14ac:dyDescent="0.3">
      <c r="C324" s="114"/>
      <c r="D324" s="353" t="str">
        <f>IF(obp!D282=0,"",obp!D282)</f>
        <v/>
      </c>
      <c r="E324" s="388" t="str">
        <f>IF(obp!E282=0,"-",obp!E282)</f>
        <v/>
      </c>
      <c r="F324" s="684" t="str">
        <f>IF(obp!F282="","",obp!F282+1)</f>
        <v/>
      </c>
      <c r="G324" s="710" t="str">
        <f>IF(obp!G282="","",obp!G282)</f>
        <v/>
      </c>
      <c r="H324" s="684" t="str">
        <f>IF(obp!H282=0,"",obp!H282)</f>
        <v/>
      </c>
      <c r="I324" s="389" t="str">
        <f>IF(J324="","",(IF(obp!I282+1&gt;LOOKUP(H324,schaal2019,regels2019),obp!I282,obp!I282+1)))</f>
        <v/>
      </c>
      <c r="J324" s="711" t="str">
        <f>IF(obp!J282="","",obp!J282)</f>
        <v/>
      </c>
      <c r="K324" s="370"/>
      <c r="L324" s="1049">
        <f>IF(obp!L282="","",obp!L282)</f>
        <v>0</v>
      </c>
      <c r="M324" s="1049">
        <f>IF(obp!M282="","",obp!M282)</f>
        <v>0</v>
      </c>
      <c r="N324" s="1051" t="str">
        <f t="shared" si="125"/>
        <v/>
      </c>
      <c r="O324" s="1051"/>
      <c r="P324" s="1125" t="str">
        <f t="shared" si="126"/>
        <v/>
      </c>
      <c r="Q324" s="472"/>
      <c r="R324" s="923" t="str">
        <f t="shared" si="137"/>
        <v/>
      </c>
      <c r="S324" s="923" t="str">
        <f t="shared" si="127"/>
        <v/>
      </c>
      <c r="T324" s="925" t="str">
        <f t="shared" si="128"/>
        <v/>
      </c>
      <c r="U324" s="545"/>
      <c r="V324" s="1103"/>
      <c r="W324" s="1103"/>
      <c r="X324" s="1060"/>
      <c r="Y324" s="1095" t="e">
        <f t="shared" si="129"/>
        <v>#VALUE!</v>
      </c>
      <c r="Z324" s="1094">
        <f>tab!B$50</f>
        <v>0.6</v>
      </c>
      <c r="AA324" s="1126" t="e">
        <f t="shared" si="130"/>
        <v>#VALUE!</v>
      </c>
      <c r="AB324" s="1126" t="e">
        <f t="shared" si="131"/>
        <v>#VALUE!</v>
      </c>
      <c r="AC324" s="1126" t="e">
        <f t="shared" si="132"/>
        <v>#VALUE!</v>
      </c>
      <c r="AD324" s="1128" t="e">
        <f t="shared" si="133"/>
        <v>#VALUE!</v>
      </c>
      <c r="AE324" s="1128">
        <f t="shared" si="134"/>
        <v>0</v>
      </c>
      <c r="AF324" s="1096">
        <f>IF(H324&gt;8,tab!$B$51,tab!$B$54)</f>
        <v>0.5</v>
      </c>
      <c r="AG324" s="1097">
        <f t="shared" si="135"/>
        <v>0</v>
      </c>
      <c r="AH324" s="1093">
        <f t="shared" si="136"/>
        <v>0</v>
      </c>
    </row>
    <row r="325" spans="3:34" x14ac:dyDescent="0.3">
      <c r="C325" s="114"/>
      <c r="D325" s="353" t="str">
        <f>IF(obp!D283=0,"",obp!D283)</f>
        <v/>
      </c>
      <c r="E325" s="388" t="str">
        <f>IF(obp!E283=0,"-",obp!E283)</f>
        <v/>
      </c>
      <c r="F325" s="684" t="str">
        <f>IF(obp!F283="","",obp!F283+1)</f>
        <v/>
      </c>
      <c r="G325" s="710" t="str">
        <f>IF(obp!G283="","",obp!G283)</f>
        <v/>
      </c>
      <c r="H325" s="684" t="str">
        <f>IF(obp!H283=0,"",obp!H283)</f>
        <v/>
      </c>
      <c r="I325" s="389" t="str">
        <f>IF(J325="","",(IF(obp!I283+1&gt;LOOKUP(H325,schaal2019,regels2019),obp!I283,obp!I283+1)))</f>
        <v/>
      </c>
      <c r="J325" s="711" t="str">
        <f>IF(obp!J283="","",obp!J283)</f>
        <v/>
      </c>
      <c r="K325" s="370"/>
      <c r="L325" s="1049">
        <f>IF(obp!L283="","",obp!L283)</f>
        <v>0</v>
      </c>
      <c r="M325" s="1049">
        <f>IF(obp!M283="","",obp!M283)</f>
        <v>0</v>
      </c>
      <c r="N325" s="1051" t="str">
        <f t="shared" si="125"/>
        <v/>
      </c>
      <c r="O325" s="1051"/>
      <c r="P325" s="1125" t="str">
        <f t="shared" si="126"/>
        <v/>
      </c>
      <c r="Q325" s="472"/>
      <c r="R325" s="923" t="str">
        <f t="shared" si="137"/>
        <v/>
      </c>
      <c r="S325" s="923" t="str">
        <f t="shared" si="127"/>
        <v/>
      </c>
      <c r="T325" s="925" t="str">
        <f t="shared" si="128"/>
        <v/>
      </c>
      <c r="U325" s="545"/>
      <c r="V325" s="1103"/>
      <c r="W325" s="1103"/>
      <c r="X325" s="1060"/>
      <c r="Y325" s="1095" t="e">
        <f t="shared" si="129"/>
        <v>#VALUE!</v>
      </c>
      <c r="Z325" s="1094">
        <f>tab!B$50</f>
        <v>0.6</v>
      </c>
      <c r="AA325" s="1126" t="e">
        <f t="shared" si="130"/>
        <v>#VALUE!</v>
      </c>
      <c r="AB325" s="1126" t="e">
        <f t="shared" si="131"/>
        <v>#VALUE!</v>
      </c>
      <c r="AC325" s="1126" t="e">
        <f t="shared" si="132"/>
        <v>#VALUE!</v>
      </c>
      <c r="AD325" s="1128" t="e">
        <f t="shared" si="133"/>
        <v>#VALUE!</v>
      </c>
      <c r="AE325" s="1128">
        <f t="shared" si="134"/>
        <v>0</v>
      </c>
      <c r="AF325" s="1096">
        <f>IF(H325&gt;8,tab!$B$51,tab!$B$54)</f>
        <v>0.5</v>
      </c>
      <c r="AG325" s="1097">
        <f t="shared" si="135"/>
        <v>0</v>
      </c>
      <c r="AH325" s="1093">
        <f t="shared" si="136"/>
        <v>0</v>
      </c>
    </row>
    <row r="326" spans="3:34" x14ac:dyDescent="0.3">
      <c r="C326" s="114"/>
      <c r="D326" s="353" t="str">
        <f>IF(obp!D284=0,"",obp!D284)</f>
        <v/>
      </c>
      <c r="E326" s="388" t="str">
        <f>IF(obp!E284=0,"-",obp!E284)</f>
        <v/>
      </c>
      <c r="F326" s="684" t="str">
        <f>IF(obp!F284="","",obp!F284+1)</f>
        <v/>
      </c>
      <c r="G326" s="710" t="str">
        <f>IF(obp!G284="","",obp!G284)</f>
        <v/>
      </c>
      <c r="H326" s="684" t="str">
        <f>IF(obp!H284=0,"",obp!H284)</f>
        <v/>
      </c>
      <c r="I326" s="389" t="str">
        <f>IF(J326="","",(IF(obp!I284+1&gt;LOOKUP(H326,schaal2019,regels2019),obp!I284,obp!I284+1)))</f>
        <v/>
      </c>
      <c r="J326" s="711" t="str">
        <f>IF(obp!J284="","",obp!J284)</f>
        <v/>
      </c>
      <c r="K326" s="370"/>
      <c r="L326" s="1049">
        <f>IF(obp!L284="","",obp!L284)</f>
        <v>0</v>
      </c>
      <c r="M326" s="1049">
        <f>IF(obp!M284="","",obp!M284)</f>
        <v>0</v>
      </c>
      <c r="N326" s="1051" t="str">
        <f t="shared" si="125"/>
        <v/>
      </c>
      <c r="O326" s="1051"/>
      <c r="P326" s="1125" t="str">
        <f t="shared" si="126"/>
        <v/>
      </c>
      <c r="Q326" s="472"/>
      <c r="R326" s="923" t="str">
        <f t="shared" si="137"/>
        <v/>
      </c>
      <c r="S326" s="923" t="str">
        <f t="shared" si="127"/>
        <v/>
      </c>
      <c r="T326" s="925" t="str">
        <f t="shared" si="128"/>
        <v/>
      </c>
      <c r="U326" s="545"/>
      <c r="V326" s="1103"/>
      <c r="W326" s="1103"/>
      <c r="X326" s="1060"/>
      <c r="Y326" s="1095" t="e">
        <f t="shared" si="129"/>
        <v>#VALUE!</v>
      </c>
      <c r="Z326" s="1094">
        <f>tab!B$50</f>
        <v>0.6</v>
      </c>
      <c r="AA326" s="1126" t="e">
        <f t="shared" si="130"/>
        <v>#VALUE!</v>
      </c>
      <c r="AB326" s="1126" t="e">
        <f t="shared" si="131"/>
        <v>#VALUE!</v>
      </c>
      <c r="AC326" s="1126" t="e">
        <f t="shared" si="132"/>
        <v>#VALUE!</v>
      </c>
      <c r="AD326" s="1128" t="e">
        <f t="shared" si="133"/>
        <v>#VALUE!</v>
      </c>
      <c r="AE326" s="1128">
        <f t="shared" si="134"/>
        <v>0</v>
      </c>
      <c r="AF326" s="1096">
        <f>IF(H326&gt;8,tab!$B$51,tab!$B$54)</f>
        <v>0.5</v>
      </c>
      <c r="AG326" s="1097">
        <f t="shared" si="135"/>
        <v>0</v>
      </c>
      <c r="AH326" s="1093">
        <f t="shared" si="136"/>
        <v>0</v>
      </c>
    </row>
    <row r="327" spans="3:34" x14ac:dyDescent="0.3">
      <c r="C327" s="114"/>
      <c r="D327" s="353" t="str">
        <f>IF(obp!D285=0,"",obp!D285)</f>
        <v/>
      </c>
      <c r="E327" s="388" t="str">
        <f>IF(obp!E285=0,"-",obp!E285)</f>
        <v/>
      </c>
      <c r="F327" s="684" t="str">
        <f>IF(obp!F285="","",obp!F285+1)</f>
        <v/>
      </c>
      <c r="G327" s="710" t="str">
        <f>IF(obp!G285="","",obp!G285)</f>
        <v/>
      </c>
      <c r="H327" s="684" t="str">
        <f>IF(obp!H285=0,"",obp!H285)</f>
        <v/>
      </c>
      <c r="I327" s="389" t="str">
        <f>IF(J327="","",(IF(obp!I285+1&gt;LOOKUP(H327,schaal2019,regels2019),obp!I285,obp!I285+1)))</f>
        <v/>
      </c>
      <c r="J327" s="711" t="str">
        <f>IF(obp!J285="","",obp!J285)</f>
        <v/>
      </c>
      <c r="K327" s="370"/>
      <c r="L327" s="1049">
        <f>IF(obp!L285="","",obp!L285)</f>
        <v>0</v>
      </c>
      <c r="M327" s="1049">
        <f>IF(obp!M285="","",obp!M285)</f>
        <v>0</v>
      </c>
      <c r="N327" s="1051" t="str">
        <f t="shared" si="125"/>
        <v/>
      </c>
      <c r="O327" s="1051"/>
      <c r="P327" s="1125" t="str">
        <f t="shared" si="126"/>
        <v/>
      </c>
      <c r="Q327" s="472"/>
      <c r="R327" s="923" t="str">
        <f t="shared" si="137"/>
        <v/>
      </c>
      <c r="S327" s="923" t="str">
        <f t="shared" si="127"/>
        <v/>
      </c>
      <c r="T327" s="925" t="str">
        <f t="shared" si="128"/>
        <v/>
      </c>
      <c r="U327" s="545"/>
      <c r="V327" s="1103"/>
      <c r="W327" s="1103"/>
      <c r="X327" s="1060"/>
      <c r="Y327" s="1095" t="e">
        <f t="shared" si="129"/>
        <v>#VALUE!</v>
      </c>
      <c r="Z327" s="1094">
        <f>tab!B$50</f>
        <v>0.6</v>
      </c>
      <c r="AA327" s="1126" t="e">
        <f t="shared" si="130"/>
        <v>#VALUE!</v>
      </c>
      <c r="AB327" s="1126" t="e">
        <f t="shared" si="131"/>
        <v>#VALUE!</v>
      </c>
      <c r="AC327" s="1126" t="e">
        <f t="shared" si="132"/>
        <v>#VALUE!</v>
      </c>
      <c r="AD327" s="1128" t="e">
        <f t="shared" si="133"/>
        <v>#VALUE!</v>
      </c>
      <c r="AE327" s="1128">
        <f t="shared" si="134"/>
        <v>0</v>
      </c>
      <c r="AF327" s="1096">
        <f>IF(H327&gt;8,tab!$B$51,tab!$B$54)</f>
        <v>0.5</v>
      </c>
      <c r="AG327" s="1097">
        <f t="shared" si="135"/>
        <v>0</v>
      </c>
      <c r="AH327" s="1093">
        <f t="shared" si="136"/>
        <v>0</v>
      </c>
    </row>
    <row r="328" spans="3:34" x14ac:dyDescent="0.3">
      <c r="C328" s="114"/>
      <c r="D328" s="353" t="str">
        <f>IF(obp!D286=0,"",obp!D286)</f>
        <v/>
      </c>
      <c r="E328" s="388" t="str">
        <f>IF(obp!E286=0,"-",obp!E286)</f>
        <v/>
      </c>
      <c r="F328" s="684" t="str">
        <f>IF(obp!F286="","",obp!F286+1)</f>
        <v/>
      </c>
      <c r="G328" s="710" t="str">
        <f>IF(obp!G286="","",obp!G286)</f>
        <v/>
      </c>
      <c r="H328" s="684" t="str">
        <f>IF(obp!H286=0,"",obp!H286)</f>
        <v/>
      </c>
      <c r="I328" s="389" t="str">
        <f>IF(J328="","",(IF(obp!I286+1&gt;LOOKUP(H328,schaal2019,regels2019),obp!I286,obp!I286+1)))</f>
        <v/>
      </c>
      <c r="J328" s="711" t="str">
        <f>IF(obp!J286="","",obp!J286)</f>
        <v/>
      </c>
      <c r="K328" s="370"/>
      <c r="L328" s="1049">
        <f>IF(obp!L286="","",obp!L286)</f>
        <v>0</v>
      </c>
      <c r="M328" s="1049">
        <f>IF(obp!M286="","",obp!M286)</f>
        <v>0</v>
      </c>
      <c r="N328" s="1051" t="str">
        <f t="shared" si="125"/>
        <v/>
      </c>
      <c r="O328" s="1051"/>
      <c r="P328" s="1125" t="str">
        <f t="shared" si="126"/>
        <v/>
      </c>
      <c r="Q328" s="472"/>
      <c r="R328" s="923" t="str">
        <f t="shared" si="137"/>
        <v/>
      </c>
      <c r="S328" s="923" t="str">
        <f t="shared" si="127"/>
        <v/>
      </c>
      <c r="T328" s="925" t="str">
        <f t="shared" si="128"/>
        <v/>
      </c>
      <c r="U328" s="545"/>
      <c r="V328" s="1103"/>
      <c r="W328" s="1103"/>
      <c r="X328" s="1060"/>
      <c r="Y328" s="1095" t="e">
        <f t="shared" si="129"/>
        <v>#VALUE!</v>
      </c>
      <c r="Z328" s="1094">
        <f>tab!B$50</f>
        <v>0.6</v>
      </c>
      <c r="AA328" s="1126" t="e">
        <f t="shared" si="130"/>
        <v>#VALUE!</v>
      </c>
      <c r="AB328" s="1126" t="e">
        <f t="shared" si="131"/>
        <v>#VALUE!</v>
      </c>
      <c r="AC328" s="1126" t="e">
        <f t="shared" si="132"/>
        <v>#VALUE!</v>
      </c>
      <c r="AD328" s="1128" t="e">
        <f t="shared" si="133"/>
        <v>#VALUE!</v>
      </c>
      <c r="AE328" s="1128">
        <f t="shared" si="134"/>
        <v>0</v>
      </c>
      <c r="AF328" s="1096">
        <f>IF(H328&gt;8,tab!$B$51,tab!$B$54)</f>
        <v>0.5</v>
      </c>
      <c r="AG328" s="1097">
        <f t="shared" si="135"/>
        <v>0</v>
      </c>
      <c r="AH328" s="1093">
        <f t="shared" si="136"/>
        <v>0</v>
      </c>
    </row>
    <row r="329" spans="3:34" x14ac:dyDescent="0.3">
      <c r="C329" s="114"/>
      <c r="D329" s="353" t="str">
        <f>IF(obp!D287=0,"",obp!D287)</f>
        <v/>
      </c>
      <c r="E329" s="388" t="str">
        <f>IF(obp!E287=0,"-",obp!E287)</f>
        <v/>
      </c>
      <c r="F329" s="684" t="str">
        <f>IF(obp!F287="","",obp!F287+1)</f>
        <v/>
      </c>
      <c r="G329" s="710" t="str">
        <f>IF(obp!G287="","",obp!G287)</f>
        <v/>
      </c>
      <c r="H329" s="684" t="str">
        <f>IF(obp!H287=0,"",obp!H287)</f>
        <v/>
      </c>
      <c r="I329" s="389" t="str">
        <f>IF(J329="","",(IF(obp!I287+1&gt;LOOKUP(H329,schaal2019,regels2019),obp!I287,obp!I287+1)))</f>
        <v/>
      </c>
      <c r="J329" s="711" t="str">
        <f>IF(obp!J287="","",obp!J287)</f>
        <v/>
      </c>
      <c r="K329" s="370"/>
      <c r="L329" s="1049">
        <f>IF(obp!L287="","",obp!L287)</f>
        <v>0</v>
      </c>
      <c r="M329" s="1049">
        <f>IF(obp!M287="","",obp!M287)</f>
        <v>0</v>
      </c>
      <c r="N329" s="1051" t="str">
        <f t="shared" si="125"/>
        <v/>
      </c>
      <c r="O329" s="1051"/>
      <c r="P329" s="1125" t="str">
        <f t="shared" si="126"/>
        <v/>
      </c>
      <c r="Q329" s="472"/>
      <c r="R329" s="923" t="str">
        <f t="shared" si="137"/>
        <v/>
      </c>
      <c r="S329" s="923" t="str">
        <f t="shared" si="127"/>
        <v/>
      </c>
      <c r="T329" s="925" t="str">
        <f t="shared" si="128"/>
        <v/>
      </c>
      <c r="U329" s="545"/>
      <c r="V329" s="1103"/>
      <c r="W329" s="1103"/>
      <c r="X329" s="1060"/>
      <c r="Y329" s="1095" t="e">
        <f t="shared" si="129"/>
        <v>#VALUE!</v>
      </c>
      <c r="Z329" s="1094">
        <f>tab!B$50</f>
        <v>0.6</v>
      </c>
      <c r="AA329" s="1126" t="e">
        <f t="shared" si="130"/>
        <v>#VALUE!</v>
      </c>
      <c r="AB329" s="1126" t="e">
        <f t="shared" si="131"/>
        <v>#VALUE!</v>
      </c>
      <c r="AC329" s="1126" t="e">
        <f t="shared" si="132"/>
        <v>#VALUE!</v>
      </c>
      <c r="AD329" s="1128" t="e">
        <f t="shared" si="133"/>
        <v>#VALUE!</v>
      </c>
      <c r="AE329" s="1128">
        <f t="shared" si="134"/>
        <v>0</v>
      </c>
      <c r="AF329" s="1096">
        <f>IF(H329&gt;8,tab!$B$51,tab!$B$54)</f>
        <v>0.5</v>
      </c>
      <c r="AG329" s="1097">
        <f t="shared" si="135"/>
        <v>0</v>
      </c>
      <c r="AH329" s="1093">
        <f t="shared" si="136"/>
        <v>0</v>
      </c>
    </row>
    <row r="330" spans="3:34" x14ac:dyDescent="0.3">
      <c r="C330" s="114"/>
      <c r="D330" s="353" t="str">
        <f>IF(obp!D288=0,"",obp!D288)</f>
        <v/>
      </c>
      <c r="E330" s="388" t="str">
        <f>IF(obp!E288=0,"-",obp!E288)</f>
        <v/>
      </c>
      <c r="F330" s="105" t="str">
        <f>IF(obp!F288="","",obp!F288+1)</f>
        <v/>
      </c>
      <c r="G330" s="354" t="str">
        <f>IF(obp!G288="","",obp!G288)</f>
        <v/>
      </c>
      <c r="H330" s="684" t="str">
        <f>IF(obp!H288=0,"",obp!H288)</f>
        <v/>
      </c>
      <c r="I330" s="389" t="str">
        <f>IF(J330="","",(IF(obp!I288+1&gt;LOOKUP(H330,schaal2019,regels2019),obp!I288,obp!I288+1)))</f>
        <v/>
      </c>
      <c r="J330" s="356" t="str">
        <f>IF(obp!J288="","",obp!J288)</f>
        <v/>
      </c>
      <c r="K330" s="370"/>
      <c r="L330" s="1049">
        <f>IF(obp!L288="","",obp!L288)</f>
        <v>0</v>
      </c>
      <c r="M330" s="1049">
        <f>IF(obp!M288="","",obp!M288)</f>
        <v>0</v>
      </c>
      <c r="N330" s="1051" t="str">
        <f t="shared" si="125"/>
        <v/>
      </c>
      <c r="O330" s="1051"/>
      <c r="P330" s="1125" t="str">
        <f t="shared" si="126"/>
        <v/>
      </c>
      <c r="Q330" s="472"/>
      <c r="R330" s="923" t="str">
        <f t="shared" si="137"/>
        <v/>
      </c>
      <c r="S330" s="923" t="str">
        <f t="shared" si="127"/>
        <v/>
      </c>
      <c r="T330" s="925" t="str">
        <f t="shared" si="128"/>
        <v/>
      </c>
      <c r="U330" s="545"/>
      <c r="V330" s="1103"/>
      <c r="W330" s="1103"/>
      <c r="X330" s="1060"/>
      <c r="Y330" s="1095" t="e">
        <f t="shared" si="129"/>
        <v>#VALUE!</v>
      </c>
      <c r="Z330" s="1094">
        <f>tab!B$50</f>
        <v>0.6</v>
      </c>
      <c r="AA330" s="1126" t="e">
        <f t="shared" si="130"/>
        <v>#VALUE!</v>
      </c>
      <c r="AB330" s="1126" t="e">
        <f t="shared" si="131"/>
        <v>#VALUE!</v>
      </c>
      <c r="AC330" s="1126" t="e">
        <f t="shared" si="132"/>
        <v>#VALUE!</v>
      </c>
      <c r="AD330" s="1128" t="e">
        <f t="shared" si="133"/>
        <v>#VALUE!</v>
      </c>
      <c r="AE330" s="1128">
        <f t="shared" si="134"/>
        <v>0</v>
      </c>
      <c r="AF330" s="1096">
        <f>IF(H330&gt;8,tab!$B$51,tab!$B$54)</f>
        <v>0.5</v>
      </c>
      <c r="AG330" s="1097">
        <f t="shared" si="135"/>
        <v>0</v>
      </c>
      <c r="AH330" s="1093">
        <f t="shared" si="136"/>
        <v>0</v>
      </c>
    </row>
    <row r="331" spans="3:34" x14ac:dyDescent="0.3">
      <c r="C331" s="114"/>
      <c r="D331" s="353" t="str">
        <f>IF(obp!D289=0,"",obp!D289)</f>
        <v/>
      </c>
      <c r="E331" s="388" t="str">
        <f>IF(obp!E289=0,"-",obp!E289)</f>
        <v/>
      </c>
      <c r="F331" s="105" t="str">
        <f>IF(obp!F289="","",obp!F289+1)</f>
        <v/>
      </c>
      <c r="G331" s="354" t="str">
        <f>IF(obp!G289="","",obp!G289)</f>
        <v/>
      </c>
      <c r="H331" s="684" t="str">
        <f>IF(obp!H289=0,"",obp!H289)</f>
        <v/>
      </c>
      <c r="I331" s="389" t="str">
        <f>IF(J331="","",(IF(obp!I289+1&gt;LOOKUP(H331,schaal2019,regels2019),obp!I289,obp!I289+1)))</f>
        <v/>
      </c>
      <c r="J331" s="356" t="str">
        <f>IF(obp!J289="","",obp!J289)</f>
        <v/>
      </c>
      <c r="K331" s="370"/>
      <c r="L331" s="1049">
        <f>IF(obp!L289="","",obp!L289)</f>
        <v>0</v>
      </c>
      <c r="M331" s="1049">
        <f>IF(obp!M289="","",obp!M289)</f>
        <v>0</v>
      </c>
      <c r="N331" s="1051" t="str">
        <f t="shared" si="125"/>
        <v/>
      </c>
      <c r="O331" s="1051"/>
      <c r="P331" s="1125" t="str">
        <f t="shared" si="126"/>
        <v/>
      </c>
      <c r="Q331" s="472"/>
      <c r="R331" s="923" t="str">
        <f t="shared" si="137"/>
        <v/>
      </c>
      <c r="S331" s="923" t="str">
        <f t="shared" si="127"/>
        <v/>
      </c>
      <c r="T331" s="925" t="str">
        <f t="shared" si="128"/>
        <v/>
      </c>
      <c r="U331" s="545"/>
      <c r="V331" s="1103"/>
      <c r="W331" s="1103"/>
      <c r="X331" s="1060"/>
      <c r="Y331" s="1095" t="e">
        <f t="shared" si="129"/>
        <v>#VALUE!</v>
      </c>
      <c r="Z331" s="1094">
        <f>tab!B$50</f>
        <v>0.6</v>
      </c>
      <c r="AA331" s="1126" t="e">
        <f t="shared" si="130"/>
        <v>#VALUE!</v>
      </c>
      <c r="AB331" s="1126" t="e">
        <f t="shared" si="131"/>
        <v>#VALUE!</v>
      </c>
      <c r="AC331" s="1126" t="e">
        <f t="shared" si="132"/>
        <v>#VALUE!</v>
      </c>
      <c r="AD331" s="1128" t="e">
        <f t="shared" si="133"/>
        <v>#VALUE!</v>
      </c>
      <c r="AE331" s="1128">
        <f t="shared" si="134"/>
        <v>0</v>
      </c>
      <c r="AF331" s="1096">
        <f>IF(H331&gt;8,tab!$B$51,tab!$B$54)</f>
        <v>0.5</v>
      </c>
      <c r="AG331" s="1097">
        <f t="shared" si="135"/>
        <v>0</v>
      </c>
      <c r="AH331" s="1093">
        <f t="shared" si="136"/>
        <v>0</v>
      </c>
    </row>
    <row r="332" spans="3:34" x14ac:dyDescent="0.3">
      <c r="C332" s="114"/>
      <c r="D332" s="353" t="str">
        <f>IF(obp!D290=0,"",obp!D290)</f>
        <v/>
      </c>
      <c r="E332" s="388" t="str">
        <f>IF(obp!E290=0,"-",obp!E290)</f>
        <v/>
      </c>
      <c r="F332" s="105" t="str">
        <f>IF(obp!F290="","",obp!F290+1)</f>
        <v/>
      </c>
      <c r="G332" s="354" t="str">
        <f>IF(obp!G290="","",obp!G290)</f>
        <v/>
      </c>
      <c r="H332" s="684" t="str">
        <f>IF(obp!H290=0,"",obp!H290)</f>
        <v/>
      </c>
      <c r="I332" s="389" t="str">
        <f>IF(J332="","",(IF(obp!I290+1&gt;LOOKUP(H332,schaal2019,regels2019),obp!I290,obp!I290+1)))</f>
        <v/>
      </c>
      <c r="J332" s="356" t="str">
        <f>IF(obp!J290="","",obp!J290)</f>
        <v/>
      </c>
      <c r="K332" s="370"/>
      <c r="L332" s="1049">
        <f>IF(obp!L290="","",obp!L290)</f>
        <v>0</v>
      </c>
      <c r="M332" s="1049">
        <f>IF(obp!M290="","",obp!M290)</f>
        <v>0</v>
      </c>
      <c r="N332" s="1051" t="str">
        <f t="shared" si="125"/>
        <v/>
      </c>
      <c r="O332" s="1051"/>
      <c r="P332" s="1125" t="str">
        <f t="shared" si="126"/>
        <v/>
      </c>
      <c r="Q332" s="472"/>
      <c r="R332" s="923" t="str">
        <f t="shared" si="137"/>
        <v/>
      </c>
      <c r="S332" s="923" t="str">
        <f t="shared" si="127"/>
        <v/>
      </c>
      <c r="T332" s="925" t="str">
        <f t="shared" si="128"/>
        <v/>
      </c>
      <c r="U332" s="545"/>
      <c r="V332" s="1103"/>
      <c r="W332" s="1103"/>
      <c r="X332" s="1060"/>
      <c r="Y332" s="1095" t="e">
        <f t="shared" si="129"/>
        <v>#VALUE!</v>
      </c>
      <c r="Z332" s="1094">
        <f>tab!B$50</f>
        <v>0.6</v>
      </c>
      <c r="AA332" s="1126" t="e">
        <f t="shared" si="130"/>
        <v>#VALUE!</v>
      </c>
      <c r="AB332" s="1126" t="e">
        <f t="shared" si="131"/>
        <v>#VALUE!</v>
      </c>
      <c r="AC332" s="1126" t="e">
        <f t="shared" si="132"/>
        <v>#VALUE!</v>
      </c>
      <c r="AD332" s="1128" t="e">
        <f t="shared" si="133"/>
        <v>#VALUE!</v>
      </c>
      <c r="AE332" s="1128">
        <f t="shared" si="134"/>
        <v>0</v>
      </c>
      <c r="AF332" s="1096">
        <f>IF(H332&gt;8,tab!$B$51,tab!$B$54)</f>
        <v>0.5</v>
      </c>
      <c r="AG332" s="1097">
        <f t="shared" si="135"/>
        <v>0</v>
      </c>
      <c r="AH332" s="1093">
        <f t="shared" si="136"/>
        <v>0</v>
      </c>
    </row>
    <row r="333" spans="3:34" x14ac:dyDescent="0.3">
      <c r="C333" s="114"/>
      <c r="D333" s="353" t="str">
        <f>IF(obp!D291=0,"",obp!D291)</f>
        <v/>
      </c>
      <c r="E333" s="388" t="str">
        <f>IF(obp!E291=0,"-",obp!E291)</f>
        <v/>
      </c>
      <c r="F333" s="105" t="str">
        <f>IF(obp!F291="","",obp!F291+1)</f>
        <v/>
      </c>
      <c r="G333" s="354" t="str">
        <f>IF(obp!G291="","",obp!G291)</f>
        <v/>
      </c>
      <c r="H333" s="684" t="str">
        <f>IF(obp!H291=0,"",obp!H291)</f>
        <v/>
      </c>
      <c r="I333" s="389" t="str">
        <f>IF(J333="","",(IF(obp!I291+1&gt;LOOKUP(H333,schaal2019,regels2019),obp!I291,obp!I291+1)))</f>
        <v/>
      </c>
      <c r="J333" s="356" t="str">
        <f>IF(obp!J291="","",obp!J291)</f>
        <v/>
      </c>
      <c r="K333" s="370"/>
      <c r="L333" s="1049">
        <f>IF(obp!L291="","",obp!L291)</f>
        <v>0</v>
      </c>
      <c r="M333" s="1049">
        <f>IF(obp!M291="","",obp!M291)</f>
        <v>0</v>
      </c>
      <c r="N333" s="1051" t="str">
        <f t="shared" si="125"/>
        <v/>
      </c>
      <c r="O333" s="1051"/>
      <c r="P333" s="1125" t="str">
        <f t="shared" si="126"/>
        <v/>
      </c>
      <c r="Q333" s="472"/>
      <c r="R333" s="923" t="str">
        <f t="shared" si="137"/>
        <v/>
      </c>
      <c r="S333" s="923" t="str">
        <f t="shared" si="127"/>
        <v/>
      </c>
      <c r="T333" s="925" t="str">
        <f t="shared" si="128"/>
        <v/>
      </c>
      <c r="U333" s="545"/>
      <c r="V333" s="1103"/>
      <c r="W333" s="1103"/>
      <c r="X333" s="1060"/>
      <c r="Y333" s="1095" t="e">
        <f t="shared" si="129"/>
        <v>#VALUE!</v>
      </c>
      <c r="Z333" s="1094">
        <f>tab!B$50</f>
        <v>0.6</v>
      </c>
      <c r="AA333" s="1126" t="e">
        <f t="shared" si="130"/>
        <v>#VALUE!</v>
      </c>
      <c r="AB333" s="1126" t="e">
        <f t="shared" si="131"/>
        <v>#VALUE!</v>
      </c>
      <c r="AC333" s="1126" t="e">
        <f t="shared" si="132"/>
        <v>#VALUE!</v>
      </c>
      <c r="AD333" s="1128" t="e">
        <f t="shared" si="133"/>
        <v>#VALUE!</v>
      </c>
      <c r="AE333" s="1128">
        <f t="shared" si="134"/>
        <v>0</v>
      </c>
      <c r="AF333" s="1096">
        <f>IF(H333&gt;8,tab!$B$51,tab!$B$54)</f>
        <v>0.5</v>
      </c>
      <c r="AG333" s="1097">
        <f t="shared" si="135"/>
        <v>0</v>
      </c>
      <c r="AH333" s="1093">
        <f t="shared" si="136"/>
        <v>0</v>
      </c>
    </row>
    <row r="334" spans="3:34" x14ac:dyDescent="0.3">
      <c r="C334" s="114"/>
      <c r="D334" s="353" t="str">
        <f>IF(obp!D292=0,"",obp!D292)</f>
        <v/>
      </c>
      <c r="E334" s="388" t="str">
        <f>IF(obp!E292=0,"-",obp!E292)</f>
        <v/>
      </c>
      <c r="F334" s="105" t="str">
        <f>IF(obp!F292="","",obp!F292+1)</f>
        <v/>
      </c>
      <c r="G334" s="354" t="str">
        <f>IF(obp!G292="","",obp!G292)</f>
        <v/>
      </c>
      <c r="H334" s="684" t="str">
        <f>IF(obp!H292=0,"",obp!H292)</f>
        <v/>
      </c>
      <c r="I334" s="389" t="str">
        <f>IF(J334="","",(IF(obp!I292+1&gt;LOOKUP(H334,schaal2019,regels2019),obp!I292,obp!I292+1)))</f>
        <v/>
      </c>
      <c r="J334" s="356" t="str">
        <f>IF(obp!J292="","",obp!J292)</f>
        <v/>
      </c>
      <c r="K334" s="370"/>
      <c r="L334" s="1049">
        <f>IF(obp!L292="","",obp!L292)</f>
        <v>0</v>
      </c>
      <c r="M334" s="1049">
        <f>IF(obp!M292="","",obp!M292)</f>
        <v>0</v>
      </c>
      <c r="N334" s="1051" t="str">
        <f t="shared" si="125"/>
        <v/>
      </c>
      <c r="O334" s="1051"/>
      <c r="P334" s="1125" t="str">
        <f t="shared" si="126"/>
        <v/>
      </c>
      <c r="Q334" s="472"/>
      <c r="R334" s="923" t="str">
        <f t="shared" si="137"/>
        <v/>
      </c>
      <c r="S334" s="923" t="str">
        <f t="shared" si="127"/>
        <v/>
      </c>
      <c r="T334" s="925" t="str">
        <f t="shared" si="128"/>
        <v/>
      </c>
      <c r="U334" s="545"/>
      <c r="V334" s="1103"/>
      <c r="W334" s="1103"/>
      <c r="X334" s="1060"/>
      <c r="Y334" s="1095" t="e">
        <f t="shared" si="129"/>
        <v>#VALUE!</v>
      </c>
      <c r="Z334" s="1094">
        <f>tab!B$50</f>
        <v>0.6</v>
      </c>
      <c r="AA334" s="1126" t="e">
        <f t="shared" si="130"/>
        <v>#VALUE!</v>
      </c>
      <c r="AB334" s="1126" t="e">
        <f t="shared" si="131"/>
        <v>#VALUE!</v>
      </c>
      <c r="AC334" s="1126" t="e">
        <f t="shared" si="132"/>
        <v>#VALUE!</v>
      </c>
      <c r="AD334" s="1128" t="e">
        <f t="shared" si="133"/>
        <v>#VALUE!</v>
      </c>
      <c r="AE334" s="1128">
        <f t="shared" si="134"/>
        <v>0</v>
      </c>
      <c r="AF334" s="1096">
        <f>IF(H334&gt;8,tab!$B$51,tab!$B$54)</f>
        <v>0.5</v>
      </c>
      <c r="AG334" s="1097">
        <f t="shared" si="135"/>
        <v>0</v>
      </c>
      <c r="AH334" s="1093">
        <f t="shared" si="136"/>
        <v>0</v>
      </c>
    </row>
    <row r="335" spans="3:34" x14ac:dyDescent="0.3">
      <c r="C335" s="114"/>
      <c r="D335" s="353" t="str">
        <f>IF(obp!D293=0,"",obp!D293)</f>
        <v/>
      </c>
      <c r="E335" s="388" t="str">
        <f>IF(obp!E293=0,"-",obp!E293)</f>
        <v/>
      </c>
      <c r="F335" s="105" t="str">
        <f>IF(obp!F293="","",obp!F293+1)</f>
        <v/>
      </c>
      <c r="G335" s="354" t="str">
        <f>IF(obp!G293="","",obp!G293)</f>
        <v/>
      </c>
      <c r="H335" s="684" t="str">
        <f>IF(obp!H293=0,"",obp!H293)</f>
        <v/>
      </c>
      <c r="I335" s="389" t="str">
        <f>IF(J335="","",(IF(obp!I293+1&gt;LOOKUP(H335,schaal2019,regels2019),obp!I293,obp!I293+1)))</f>
        <v/>
      </c>
      <c r="J335" s="356" t="str">
        <f>IF(obp!J293="","",obp!J293)</f>
        <v/>
      </c>
      <c r="K335" s="370"/>
      <c r="L335" s="1049">
        <f>IF(obp!L293="","",obp!L293)</f>
        <v>0</v>
      </c>
      <c r="M335" s="1049">
        <f>IF(obp!M293="","",obp!M293)</f>
        <v>0</v>
      </c>
      <c r="N335" s="1051" t="str">
        <f t="shared" si="125"/>
        <v/>
      </c>
      <c r="O335" s="1051"/>
      <c r="P335" s="1125" t="str">
        <f t="shared" si="126"/>
        <v/>
      </c>
      <c r="Q335" s="472"/>
      <c r="R335" s="923" t="str">
        <f t="shared" si="137"/>
        <v/>
      </c>
      <c r="S335" s="923" t="str">
        <f t="shared" si="127"/>
        <v/>
      </c>
      <c r="T335" s="925" t="str">
        <f t="shared" si="128"/>
        <v/>
      </c>
      <c r="U335" s="545"/>
      <c r="V335" s="1103"/>
      <c r="W335" s="1103"/>
      <c r="X335" s="1060"/>
      <c r="Y335" s="1095" t="e">
        <f t="shared" si="129"/>
        <v>#VALUE!</v>
      </c>
      <c r="Z335" s="1094">
        <f>tab!B$50</f>
        <v>0.6</v>
      </c>
      <c r="AA335" s="1126" t="e">
        <f t="shared" si="130"/>
        <v>#VALUE!</v>
      </c>
      <c r="AB335" s="1126" t="e">
        <f t="shared" si="131"/>
        <v>#VALUE!</v>
      </c>
      <c r="AC335" s="1126" t="e">
        <f t="shared" si="132"/>
        <v>#VALUE!</v>
      </c>
      <c r="AD335" s="1128" t="e">
        <f t="shared" si="133"/>
        <v>#VALUE!</v>
      </c>
      <c r="AE335" s="1128">
        <f t="shared" si="134"/>
        <v>0</v>
      </c>
      <c r="AF335" s="1096">
        <f>IF(H335&gt;8,tab!$B$51,tab!$B$54)</f>
        <v>0.5</v>
      </c>
      <c r="AG335" s="1097">
        <f t="shared" si="135"/>
        <v>0</v>
      </c>
      <c r="AH335" s="1093">
        <f t="shared" si="136"/>
        <v>0</v>
      </c>
    </row>
    <row r="336" spans="3:34" x14ac:dyDescent="0.3">
      <c r="C336" s="114"/>
      <c r="D336" s="353" t="str">
        <f>IF(obp!D294=0,"",obp!D294)</f>
        <v/>
      </c>
      <c r="E336" s="388" t="str">
        <f>IF(obp!E294=0,"-",obp!E294)</f>
        <v/>
      </c>
      <c r="F336" s="105" t="str">
        <f>IF(obp!F294="","",obp!F294+1)</f>
        <v/>
      </c>
      <c r="G336" s="354" t="str">
        <f>IF(obp!G294="","",obp!G294)</f>
        <v/>
      </c>
      <c r="H336" s="684" t="str">
        <f>IF(obp!H294=0,"",obp!H294)</f>
        <v/>
      </c>
      <c r="I336" s="389" t="str">
        <f>IF(J336="","",(IF(obp!I294+1&gt;LOOKUP(H336,schaal2019,regels2019),obp!I294,obp!I294+1)))</f>
        <v/>
      </c>
      <c r="J336" s="356" t="str">
        <f>IF(obp!J294="","",obp!J294)</f>
        <v/>
      </c>
      <c r="K336" s="370"/>
      <c r="L336" s="1049">
        <f>IF(obp!L294="","",obp!L294)</f>
        <v>0</v>
      </c>
      <c r="M336" s="1049">
        <f>IF(obp!M294="","",obp!M294)</f>
        <v>0</v>
      </c>
      <c r="N336" s="1051" t="str">
        <f t="shared" si="125"/>
        <v/>
      </c>
      <c r="O336" s="1051"/>
      <c r="P336" s="1125" t="str">
        <f t="shared" si="126"/>
        <v/>
      </c>
      <c r="Q336" s="472"/>
      <c r="R336" s="923" t="str">
        <f t="shared" si="137"/>
        <v/>
      </c>
      <c r="S336" s="923" t="str">
        <f t="shared" si="127"/>
        <v/>
      </c>
      <c r="T336" s="925" t="str">
        <f t="shared" si="128"/>
        <v/>
      </c>
      <c r="U336" s="545"/>
      <c r="V336" s="1103"/>
      <c r="W336" s="1103"/>
      <c r="X336" s="1060"/>
      <c r="Y336" s="1095" t="e">
        <f t="shared" si="129"/>
        <v>#VALUE!</v>
      </c>
      <c r="Z336" s="1094">
        <f>tab!B$50</f>
        <v>0.6</v>
      </c>
      <c r="AA336" s="1126" t="e">
        <f t="shared" si="130"/>
        <v>#VALUE!</v>
      </c>
      <c r="AB336" s="1126" t="e">
        <f t="shared" si="131"/>
        <v>#VALUE!</v>
      </c>
      <c r="AC336" s="1126" t="e">
        <f t="shared" si="132"/>
        <v>#VALUE!</v>
      </c>
      <c r="AD336" s="1128" t="e">
        <f t="shared" si="133"/>
        <v>#VALUE!</v>
      </c>
      <c r="AE336" s="1128">
        <f t="shared" si="134"/>
        <v>0</v>
      </c>
      <c r="AF336" s="1096">
        <f>IF(H336&gt;8,tab!$B$51,tab!$B$54)</f>
        <v>0.5</v>
      </c>
      <c r="AG336" s="1097">
        <f t="shared" si="135"/>
        <v>0</v>
      </c>
      <c r="AH336" s="1093">
        <f t="shared" si="136"/>
        <v>0</v>
      </c>
    </row>
    <row r="337" spans="3:34" x14ac:dyDescent="0.3">
      <c r="C337" s="114"/>
      <c r="D337" s="353" t="str">
        <f>IF(obp!D295=0,"",obp!D295)</f>
        <v/>
      </c>
      <c r="E337" s="388" t="str">
        <f>IF(obp!E295=0,"-",obp!E295)</f>
        <v/>
      </c>
      <c r="F337" s="105" t="str">
        <f>IF(obp!F295="","",obp!F295+1)</f>
        <v/>
      </c>
      <c r="G337" s="354" t="str">
        <f>IF(obp!G295="","",obp!G295)</f>
        <v/>
      </c>
      <c r="H337" s="684" t="str">
        <f>IF(obp!H295=0,"",obp!H295)</f>
        <v/>
      </c>
      <c r="I337" s="389" t="str">
        <f>IF(J337="","",(IF(obp!I295+1&gt;LOOKUP(H337,schaal2019,regels2019),obp!I295,obp!I295+1)))</f>
        <v/>
      </c>
      <c r="J337" s="356" t="str">
        <f>IF(obp!J295="","",obp!J295)</f>
        <v/>
      </c>
      <c r="K337" s="370"/>
      <c r="L337" s="1049">
        <f>IF(obp!L295="","",obp!L295)</f>
        <v>0</v>
      </c>
      <c r="M337" s="1049">
        <f>IF(obp!M295="","",obp!M295)</f>
        <v>0</v>
      </c>
      <c r="N337" s="1051" t="str">
        <f t="shared" si="125"/>
        <v/>
      </c>
      <c r="O337" s="1051"/>
      <c r="P337" s="1125" t="str">
        <f t="shared" si="126"/>
        <v/>
      </c>
      <c r="Q337" s="472"/>
      <c r="R337" s="923" t="str">
        <f t="shared" si="137"/>
        <v/>
      </c>
      <c r="S337" s="923" t="str">
        <f t="shared" si="127"/>
        <v/>
      </c>
      <c r="T337" s="925" t="str">
        <f t="shared" si="128"/>
        <v/>
      </c>
      <c r="U337" s="545"/>
      <c r="V337" s="1103"/>
      <c r="W337" s="1103"/>
      <c r="X337" s="1060"/>
      <c r="Y337" s="1095" t="e">
        <f t="shared" si="129"/>
        <v>#VALUE!</v>
      </c>
      <c r="Z337" s="1094">
        <f>tab!B$50</f>
        <v>0.6</v>
      </c>
      <c r="AA337" s="1126" t="e">
        <f t="shared" si="130"/>
        <v>#VALUE!</v>
      </c>
      <c r="AB337" s="1126" t="e">
        <f t="shared" si="131"/>
        <v>#VALUE!</v>
      </c>
      <c r="AC337" s="1126" t="e">
        <f t="shared" si="132"/>
        <v>#VALUE!</v>
      </c>
      <c r="AD337" s="1128" t="e">
        <f t="shared" si="133"/>
        <v>#VALUE!</v>
      </c>
      <c r="AE337" s="1128">
        <f t="shared" si="134"/>
        <v>0</v>
      </c>
      <c r="AF337" s="1096">
        <f>IF(H337&gt;8,tab!$B$51,tab!$B$54)</f>
        <v>0.5</v>
      </c>
      <c r="AG337" s="1097">
        <f t="shared" si="135"/>
        <v>0</v>
      </c>
      <c r="AH337" s="1093">
        <f t="shared" si="136"/>
        <v>0</v>
      </c>
    </row>
    <row r="338" spans="3:34" x14ac:dyDescent="0.3">
      <c r="C338" s="114"/>
      <c r="D338" s="353" t="str">
        <f>IF(obp!D296=0,"",obp!D296)</f>
        <v/>
      </c>
      <c r="E338" s="388" t="str">
        <f>IF(obp!E296=0,"-",obp!E296)</f>
        <v/>
      </c>
      <c r="F338" s="105" t="str">
        <f>IF(obp!F296="","",obp!F296+1)</f>
        <v/>
      </c>
      <c r="G338" s="354" t="str">
        <f>IF(obp!G296="","",obp!G296)</f>
        <v/>
      </c>
      <c r="H338" s="684" t="str">
        <f>IF(obp!H296=0,"",obp!H296)</f>
        <v/>
      </c>
      <c r="I338" s="389" t="str">
        <f>IF(J338="","",(IF(obp!I296+1&gt;LOOKUP(H338,schaal2019,regels2019),obp!I296,obp!I296+1)))</f>
        <v/>
      </c>
      <c r="J338" s="356" t="str">
        <f>IF(obp!J296="","",obp!J296)</f>
        <v/>
      </c>
      <c r="K338" s="370"/>
      <c r="L338" s="1049">
        <f>IF(obp!L296="","",obp!L296)</f>
        <v>0</v>
      </c>
      <c r="M338" s="1049">
        <f>IF(obp!M296="","",obp!M296)</f>
        <v>0</v>
      </c>
      <c r="N338" s="1051" t="str">
        <f t="shared" si="125"/>
        <v/>
      </c>
      <c r="O338" s="1051"/>
      <c r="P338" s="1125" t="str">
        <f t="shared" si="126"/>
        <v/>
      </c>
      <c r="Q338" s="472"/>
      <c r="R338" s="923" t="str">
        <f t="shared" si="137"/>
        <v/>
      </c>
      <c r="S338" s="923" t="str">
        <f t="shared" si="127"/>
        <v/>
      </c>
      <c r="T338" s="925" t="str">
        <f t="shared" si="128"/>
        <v/>
      </c>
      <c r="U338" s="545"/>
      <c r="V338" s="1103"/>
      <c r="W338" s="1103"/>
      <c r="X338" s="1060"/>
      <c r="Y338" s="1095" t="e">
        <f t="shared" si="129"/>
        <v>#VALUE!</v>
      </c>
      <c r="Z338" s="1094">
        <f>tab!B$50</f>
        <v>0.6</v>
      </c>
      <c r="AA338" s="1126" t="e">
        <f t="shared" si="130"/>
        <v>#VALUE!</v>
      </c>
      <c r="AB338" s="1126" t="e">
        <f t="shared" si="131"/>
        <v>#VALUE!</v>
      </c>
      <c r="AC338" s="1126" t="e">
        <f t="shared" si="132"/>
        <v>#VALUE!</v>
      </c>
      <c r="AD338" s="1128" t="e">
        <f t="shared" si="133"/>
        <v>#VALUE!</v>
      </c>
      <c r="AE338" s="1128">
        <f t="shared" si="134"/>
        <v>0</v>
      </c>
      <c r="AF338" s="1096">
        <f>IF(H338&gt;8,tab!$B$51,tab!$B$54)</f>
        <v>0.5</v>
      </c>
      <c r="AG338" s="1097">
        <f t="shared" si="135"/>
        <v>0</v>
      </c>
      <c r="AH338" s="1093">
        <f t="shared" si="136"/>
        <v>0</v>
      </c>
    </row>
    <row r="339" spans="3:34" x14ac:dyDescent="0.3">
      <c r="C339" s="114"/>
      <c r="D339" s="353" t="str">
        <f>IF(obp!D297=0,"",obp!D297)</f>
        <v/>
      </c>
      <c r="E339" s="388" t="str">
        <f>IF(obp!E297=0,"-",obp!E297)</f>
        <v/>
      </c>
      <c r="F339" s="105" t="str">
        <f>IF(obp!F297="","",obp!F297+1)</f>
        <v/>
      </c>
      <c r="G339" s="354" t="str">
        <f>IF(obp!G297="","",obp!G297)</f>
        <v/>
      </c>
      <c r="H339" s="684" t="str">
        <f>IF(obp!H297=0,"",obp!H297)</f>
        <v/>
      </c>
      <c r="I339" s="389" t="str">
        <f>IF(J339="","",(IF(obp!I297+1&gt;LOOKUP(H339,schaal2019,regels2019),obp!I297,obp!I297+1)))</f>
        <v/>
      </c>
      <c r="J339" s="356" t="str">
        <f>IF(obp!J297="","",obp!J297)</f>
        <v/>
      </c>
      <c r="K339" s="370"/>
      <c r="L339" s="1049">
        <f>IF(obp!L297="","",obp!L297)</f>
        <v>0</v>
      </c>
      <c r="M339" s="1049">
        <f>IF(obp!M297="","",obp!M297)</f>
        <v>0</v>
      </c>
      <c r="N339" s="1051" t="str">
        <f t="shared" si="125"/>
        <v/>
      </c>
      <c r="O339" s="1051"/>
      <c r="P339" s="1125" t="str">
        <f t="shared" si="126"/>
        <v/>
      </c>
      <c r="Q339" s="472"/>
      <c r="R339" s="923" t="str">
        <f t="shared" si="137"/>
        <v/>
      </c>
      <c r="S339" s="923" t="str">
        <f t="shared" si="127"/>
        <v/>
      </c>
      <c r="T339" s="925" t="str">
        <f t="shared" si="128"/>
        <v/>
      </c>
      <c r="U339" s="545"/>
      <c r="V339" s="1103"/>
      <c r="W339" s="1103"/>
      <c r="X339" s="1060"/>
      <c r="Y339" s="1095" t="e">
        <f t="shared" si="129"/>
        <v>#VALUE!</v>
      </c>
      <c r="Z339" s="1094">
        <f>tab!B$50</f>
        <v>0.6</v>
      </c>
      <c r="AA339" s="1126" t="e">
        <f t="shared" si="130"/>
        <v>#VALUE!</v>
      </c>
      <c r="AB339" s="1126" t="e">
        <f t="shared" si="131"/>
        <v>#VALUE!</v>
      </c>
      <c r="AC339" s="1126" t="e">
        <f t="shared" si="132"/>
        <v>#VALUE!</v>
      </c>
      <c r="AD339" s="1128" t="e">
        <f t="shared" si="133"/>
        <v>#VALUE!</v>
      </c>
      <c r="AE339" s="1128">
        <f t="shared" si="134"/>
        <v>0</v>
      </c>
      <c r="AF339" s="1096">
        <f>IF(H339&gt;8,tab!$B$51,tab!$B$54)</f>
        <v>0.5</v>
      </c>
      <c r="AG339" s="1097">
        <f t="shared" si="135"/>
        <v>0</v>
      </c>
      <c r="AH339" s="1093">
        <f t="shared" si="136"/>
        <v>0</v>
      </c>
    </row>
    <row r="340" spans="3:34" x14ac:dyDescent="0.3">
      <c r="C340" s="114"/>
      <c r="D340" s="353" t="str">
        <f>IF(obp!D298=0,"",obp!D298)</f>
        <v/>
      </c>
      <c r="E340" s="388" t="str">
        <f>IF(obp!E298=0,"-",obp!E298)</f>
        <v/>
      </c>
      <c r="F340" s="105" t="str">
        <f>IF(obp!F298="","",obp!F298+1)</f>
        <v/>
      </c>
      <c r="G340" s="354" t="str">
        <f>IF(obp!G298="","",obp!G298)</f>
        <v/>
      </c>
      <c r="H340" s="684" t="str">
        <f>IF(obp!H298=0,"",obp!H298)</f>
        <v/>
      </c>
      <c r="I340" s="389" t="str">
        <f>IF(J340="","",(IF(obp!I298+1&gt;LOOKUP(H340,schaal2019,regels2019),obp!I298,obp!I298+1)))</f>
        <v/>
      </c>
      <c r="J340" s="356" t="str">
        <f>IF(obp!J298="","",obp!J298)</f>
        <v/>
      </c>
      <c r="K340" s="370"/>
      <c r="L340" s="1049">
        <f>IF(obp!L298="","",obp!L298)</f>
        <v>0</v>
      </c>
      <c r="M340" s="1049">
        <f>IF(obp!M298="","",obp!M298)</f>
        <v>0</v>
      </c>
      <c r="N340" s="1051" t="str">
        <f t="shared" si="125"/>
        <v/>
      </c>
      <c r="O340" s="1051"/>
      <c r="P340" s="1125" t="str">
        <f t="shared" si="126"/>
        <v/>
      </c>
      <c r="Q340" s="472"/>
      <c r="R340" s="923" t="str">
        <f t="shared" si="137"/>
        <v/>
      </c>
      <c r="S340" s="923" t="str">
        <f t="shared" si="127"/>
        <v/>
      </c>
      <c r="T340" s="925" t="str">
        <f t="shared" si="128"/>
        <v/>
      </c>
      <c r="U340" s="545"/>
      <c r="V340" s="1103"/>
      <c r="W340" s="1103"/>
      <c r="X340" s="1060"/>
      <c r="Y340" s="1095" t="e">
        <f t="shared" si="129"/>
        <v>#VALUE!</v>
      </c>
      <c r="Z340" s="1094">
        <f>tab!B$50</f>
        <v>0.6</v>
      </c>
      <c r="AA340" s="1126" t="e">
        <f t="shared" si="130"/>
        <v>#VALUE!</v>
      </c>
      <c r="AB340" s="1126" t="e">
        <f t="shared" si="131"/>
        <v>#VALUE!</v>
      </c>
      <c r="AC340" s="1126" t="e">
        <f t="shared" si="132"/>
        <v>#VALUE!</v>
      </c>
      <c r="AD340" s="1128" t="e">
        <f t="shared" si="133"/>
        <v>#VALUE!</v>
      </c>
      <c r="AE340" s="1128">
        <f t="shared" si="134"/>
        <v>0</v>
      </c>
      <c r="AF340" s="1096">
        <f>IF(H340&gt;8,tab!$B$51,tab!$B$54)</f>
        <v>0.5</v>
      </c>
      <c r="AG340" s="1097">
        <f t="shared" si="135"/>
        <v>0</v>
      </c>
      <c r="AH340" s="1093">
        <f t="shared" si="136"/>
        <v>0</v>
      </c>
    </row>
    <row r="341" spans="3:34" x14ac:dyDescent="0.3">
      <c r="C341" s="114"/>
      <c r="D341" s="353" t="str">
        <f>IF(obp!D299=0,"",obp!D299)</f>
        <v/>
      </c>
      <c r="E341" s="388" t="str">
        <f>IF(obp!E299=0,"-",obp!E299)</f>
        <v/>
      </c>
      <c r="F341" s="105" t="str">
        <f>IF(obp!F299="","",obp!F299+1)</f>
        <v/>
      </c>
      <c r="G341" s="354" t="str">
        <f>IF(obp!G299="","",obp!G299)</f>
        <v/>
      </c>
      <c r="H341" s="684" t="str">
        <f>IF(obp!H299=0,"",obp!H299)</f>
        <v/>
      </c>
      <c r="I341" s="389" t="str">
        <f>IF(J341="","",(IF(obp!I299+1&gt;LOOKUP(H341,schaal2019,regels2019),obp!I299,obp!I299+1)))</f>
        <v/>
      </c>
      <c r="J341" s="356" t="str">
        <f>IF(obp!J299="","",obp!J299)</f>
        <v/>
      </c>
      <c r="K341" s="370"/>
      <c r="L341" s="1049">
        <f>IF(obp!L299="","",obp!L299)</f>
        <v>0</v>
      </c>
      <c r="M341" s="1049">
        <f>IF(obp!M299="","",obp!M299)</f>
        <v>0</v>
      </c>
      <c r="N341" s="1051" t="str">
        <f t="shared" si="125"/>
        <v/>
      </c>
      <c r="O341" s="1051"/>
      <c r="P341" s="1125" t="str">
        <f t="shared" si="126"/>
        <v/>
      </c>
      <c r="Q341" s="472"/>
      <c r="R341" s="923" t="str">
        <f t="shared" si="137"/>
        <v/>
      </c>
      <c r="S341" s="923" t="str">
        <f t="shared" si="127"/>
        <v/>
      </c>
      <c r="T341" s="925" t="str">
        <f t="shared" si="128"/>
        <v/>
      </c>
      <c r="U341" s="545"/>
      <c r="V341" s="1103"/>
      <c r="W341" s="1103"/>
      <c r="X341" s="1060"/>
      <c r="Y341" s="1095" t="e">
        <f t="shared" si="129"/>
        <v>#VALUE!</v>
      </c>
      <c r="Z341" s="1094">
        <f>tab!B$50</f>
        <v>0.6</v>
      </c>
      <c r="AA341" s="1126" t="e">
        <f t="shared" si="130"/>
        <v>#VALUE!</v>
      </c>
      <c r="AB341" s="1126" t="e">
        <f t="shared" si="131"/>
        <v>#VALUE!</v>
      </c>
      <c r="AC341" s="1126" t="e">
        <f t="shared" si="132"/>
        <v>#VALUE!</v>
      </c>
      <c r="AD341" s="1128" t="e">
        <f t="shared" si="133"/>
        <v>#VALUE!</v>
      </c>
      <c r="AE341" s="1128">
        <f t="shared" si="134"/>
        <v>0</v>
      </c>
      <c r="AF341" s="1096">
        <f>IF(H341&gt;8,tab!$B$51,tab!$B$54)</f>
        <v>0.5</v>
      </c>
      <c r="AG341" s="1097">
        <f t="shared" si="135"/>
        <v>0</v>
      </c>
      <c r="AH341" s="1093">
        <f t="shared" si="136"/>
        <v>0</v>
      </c>
    </row>
    <row r="342" spans="3:34" x14ac:dyDescent="0.3">
      <c r="C342" s="114"/>
      <c r="D342" s="730"/>
      <c r="E342" s="731"/>
      <c r="F342" s="119"/>
      <c r="G342" s="683"/>
      <c r="H342" s="732"/>
      <c r="I342" s="369"/>
      <c r="J342" s="963">
        <f>SUM(J312:J341)</f>
        <v>1</v>
      </c>
      <c r="K342" s="715"/>
      <c r="L342" s="1062">
        <f t="shared" ref="L342:M342" si="138">SUM(L312:L341)</f>
        <v>0</v>
      </c>
      <c r="M342" s="1062">
        <f t="shared" si="138"/>
        <v>0</v>
      </c>
      <c r="N342" s="1039">
        <f>SUM(N312:N341)</f>
        <v>40</v>
      </c>
      <c r="O342" s="919"/>
      <c r="P342" s="1039">
        <f t="shared" ref="P342" si="139">SUM(P312:P341)</f>
        <v>40</v>
      </c>
      <c r="Q342" s="715"/>
      <c r="R342" s="964">
        <f t="shared" ref="R342:T342" si="140">SUM(R312:R341)</f>
        <v>62413.181916817368</v>
      </c>
      <c r="S342" s="965">
        <f t="shared" si="140"/>
        <v>1542.0180831826403</v>
      </c>
      <c r="T342" s="962">
        <f t="shared" si="140"/>
        <v>63955.200000000012</v>
      </c>
      <c r="U342" s="117"/>
      <c r="V342" s="1063"/>
      <c r="W342" s="1063"/>
      <c r="Y342" s="1112"/>
      <c r="Z342" s="1113"/>
      <c r="AA342" s="1113"/>
      <c r="AB342" s="1113"/>
      <c r="AC342" s="1113"/>
      <c r="AG342" s="1090">
        <f>SUM(AG312:AG341)</f>
        <v>0</v>
      </c>
      <c r="AH342" s="1114">
        <f>SUM(AH312:AH341)</f>
        <v>0</v>
      </c>
    </row>
    <row r="343" spans="3:34" x14ac:dyDescent="0.3">
      <c r="D343" s="15">
        <v>15</v>
      </c>
    </row>
    <row r="344" spans="3:34" x14ac:dyDescent="0.3">
      <c r="D344" s="15">
        <v>16</v>
      </c>
    </row>
    <row r="345" spans="3:34" x14ac:dyDescent="0.3">
      <c r="D345" s="15" t="s">
        <v>168</v>
      </c>
    </row>
    <row r="346" spans="3:34" x14ac:dyDescent="0.3">
      <c r="D346" s="15" t="s">
        <v>178</v>
      </c>
    </row>
    <row r="347" spans="3:34" x14ac:dyDescent="0.3">
      <c r="D347" s="15" t="s">
        <v>169</v>
      </c>
    </row>
    <row r="348" spans="3:34" x14ac:dyDescent="0.3">
      <c r="D348" s="15" t="s">
        <v>166</v>
      </c>
    </row>
    <row r="349" spans="3:34" x14ac:dyDescent="0.3">
      <c r="D349" s="15" t="s">
        <v>167</v>
      </c>
    </row>
  </sheetData>
  <sheetProtection algorithmName="SHA-512" hashValue="/97V0WYKVeYa5d4w/rUoBO9L97KvuI/y8Ypra94sL7RKGp5P8cW7Z2TySQ7xIDKotYDQMRgGJ4Dp+7j7S5EsUg==" saltValue="gNMoy9+izi6a8yrVE2tV3g==" spinCount="100000" sheet="1" objects="1" scenarios="1"/>
  <phoneticPr fontId="0" type="noConversion"/>
  <dataValidations count="3">
    <dataValidation type="list" allowBlank="1" showInputMessage="1" showErrorMessage="1" sqref="H186:H215 H228:H257 H144:H173 H102:H131 H59:H88 H16:H45 H270:H299 H312:H341" xr:uid="{00000000-0002-0000-0500-000000000000}">
      <formula1>$D$329:$D$349</formula1>
    </dataValidation>
    <dataValidation type="list" allowBlank="1" showInputMessage="1" showErrorMessage="1" sqref="H134:H138" xr:uid="{00000000-0002-0000-0500-000001000000}">
      <formula1>"LIOa,LIOb,J1,J2,J3,J4,J5,J6,1,2,3,4,5,6,7,8,9,10,11,12,13,14,15,LA,LB,LC,LD,LE,ID1,ID2,ID3"</formula1>
    </dataValidation>
    <dataValidation type="list" allowBlank="1" showInputMessage="1" showErrorMessage="1" sqref="H91:H96 H48:H53" xr:uid="{00000000-0002-0000-0500-000002000000}">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104" min="1" max="3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pageSetUpPr fitToPage="1"/>
  </sheetPr>
  <dimension ref="B1:AC1325"/>
  <sheetViews>
    <sheetView showGridLines="0" zoomScale="85" zoomScaleNormal="85" zoomScaleSheetLayoutView="70" workbookViewId="0">
      <pane ySplit="11" topLeftCell="A12" activePane="bottomLeft" state="frozen"/>
      <selection activeCell="A4" sqref="A4:XFD4"/>
      <selection pane="bottomLeft" activeCell="H22" sqref="H22"/>
    </sheetView>
  </sheetViews>
  <sheetFormatPr defaultColWidth="9.109375" defaultRowHeight="13.8" x14ac:dyDescent="0.3"/>
  <cols>
    <col min="1" max="1" width="3.6640625" style="8" customWidth="1"/>
    <col min="2" max="3" width="2.6640625" style="8" customWidth="1"/>
    <col min="4" max="4" width="45.6640625" style="8" customWidth="1"/>
    <col min="5" max="5" width="1.6640625" style="8" customWidth="1"/>
    <col min="6" max="6" width="8.6640625" style="8" customWidth="1"/>
    <col min="7" max="7" width="2.6640625" style="8" customWidth="1"/>
    <col min="8" max="8" width="13" style="8" customWidth="1"/>
    <col min="9" max="14" width="13" style="237" customWidth="1"/>
    <col min="15" max="15" width="2.6640625" style="8" customWidth="1"/>
    <col min="16" max="16" width="2.5546875" style="8" customWidth="1"/>
    <col min="17" max="17" width="5.88671875" style="8" customWidth="1"/>
    <col min="18" max="18" width="8.5546875" style="410" customWidth="1"/>
    <col min="19" max="19" width="0.88671875" style="8" customWidth="1"/>
    <col min="20" max="20" width="40.6640625" style="8" customWidth="1"/>
    <col min="21" max="21" width="2.44140625" style="8" customWidth="1"/>
    <col min="22" max="26" width="14.6640625" style="237" customWidth="1"/>
    <col min="27" max="27" width="1.6640625" style="8" customWidth="1"/>
    <col min="28" max="28" width="2.5546875" style="8" customWidth="1"/>
    <col min="29" max="16384" width="9.109375" style="8"/>
  </cols>
  <sheetData>
    <row r="1" spans="2:26" ht="12.75" customHeight="1" x14ac:dyDescent="0.3"/>
    <row r="2" spans="2:26" x14ac:dyDescent="0.3">
      <c r="B2" s="56"/>
      <c r="C2" s="57"/>
      <c r="D2" s="57"/>
      <c r="E2" s="57"/>
      <c r="F2" s="57"/>
      <c r="G2" s="57"/>
      <c r="H2" s="57"/>
      <c r="I2" s="301"/>
      <c r="J2" s="301"/>
      <c r="K2" s="301"/>
      <c r="L2" s="301"/>
      <c r="M2" s="301"/>
      <c r="N2" s="301"/>
      <c r="O2" s="60"/>
    </row>
    <row r="3" spans="2:26" x14ac:dyDescent="0.3">
      <c r="B3" s="61"/>
      <c r="C3" s="62"/>
      <c r="D3" s="62"/>
      <c r="E3" s="62"/>
      <c r="F3" s="62"/>
      <c r="G3" s="62"/>
      <c r="H3" s="62"/>
      <c r="I3" s="307"/>
      <c r="J3" s="307"/>
      <c r="K3" s="307"/>
      <c r="L3" s="307"/>
      <c r="M3" s="307"/>
      <c r="N3" s="307"/>
      <c r="O3" s="65"/>
    </row>
    <row r="4" spans="2:26" s="12" customFormat="1" ht="18" x14ac:dyDescent="0.35">
      <c r="B4" s="850"/>
      <c r="C4" s="834" t="s">
        <v>33</v>
      </c>
      <c r="D4" s="73"/>
      <c r="E4" s="73"/>
      <c r="F4" s="73"/>
      <c r="G4" s="73"/>
      <c r="H4" s="73"/>
      <c r="I4" s="592"/>
      <c r="J4" s="592"/>
      <c r="K4" s="592"/>
      <c r="L4" s="592"/>
      <c r="M4" s="592"/>
      <c r="N4" s="592"/>
      <c r="O4" s="76"/>
      <c r="V4" s="405"/>
      <c r="W4" s="405"/>
      <c r="X4" s="405"/>
      <c r="Y4" s="405"/>
      <c r="Z4" s="405"/>
    </row>
    <row r="5" spans="2:26" ht="18" x14ac:dyDescent="0.35">
      <c r="B5" s="183"/>
      <c r="C5" s="68" t="str">
        <f>geg!F11</f>
        <v>Voorbeeldschool</v>
      </c>
      <c r="D5" s="62"/>
      <c r="E5" s="62"/>
      <c r="F5" s="62"/>
      <c r="G5" s="62"/>
      <c r="H5" s="62"/>
      <c r="I5" s="307"/>
      <c r="J5" s="307"/>
      <c r="K5" s="307"/>
      <c r="L5" s="307"/>
      <c r="M5" s="307"/>
      <c r="N5" s="307"/>
      <c r="O5" s="65"/>
    </row>
    <row r="6" spans="2:26" ht="12.75" customHeight="1" x14ac:dyDescent="0.3">
      <c r="B6" s="61"/>
      <c r="C6" s="62"/>
      <c r="D6" s="62"/>
      <c r="E6" s="62"/>
      <c r="F6" s="62"/>
      <c r="G6" s="62"/>
      <c r="H6" s="62"/>
      <c r="I6" s="307"/>
      <c r="J6" s="307"/>
      <c r="K6" s="307"/>
      <c r="L6" s="307"/>
      <c r="M6" s="307"/>
      <c r="N6" s="307"/>
      <c r="O6" s="65"/>
    </row>
    <row r="7" spans="2:26" ht="12.75" customHeight="1" x14ac:dyDescent="0.3">
      <c r="B7" s="61"/>
      <c r="C7" s="62"/>
      <c r="D7" s="62"/>
      <c r="E7" s="62"/>
      <c r="F7" s="62"/>
      <c r="G7" s="62"/>
      <c r="H7" s="62"/>
      <c r="I7" s="307"/>
      <c r="J7" s="307"/>
      <c r="K7" s="307"/>
      <c r="L7" s="307"/>
      <c r="M7" s="307"/>
      <c r="N7" s="307"/>
      <c r="O7" s="65"/>
    </row>
    <row r="8" spans="2:26" s="294" customFormat="1" ht="12.75" customHeight="1" x14ac:dyDescent="0.3">
      <c r="B8" s="345"/>
      <c r="C8" s="593"/>
      <c r="D8" s="870" t="s">
        <v>241</v>
      </c>
      <c r="E8" s="966"/>
      <c r="F8" s="966"/>
      <c r="G8" s="966"/>
      <c r="H8" s="967">
        <f>tab!B4</f>
        <v>2020</v>
      </c>
      <c r="I8" s="967">
        <f>tab!C4</f>
        <v>2021</v>
      </c>
      <c r="J8" s="967">
        <f>tab!D4</f>
        <v>2022</v>
      </c>
      <c r="K8" s="967">
        <f>tab!E4</f>
        <v>2023</v>
      </c>
      <c r="L8" s="967">
        <f>tab!F4</f>
        <v>2024</v>
      </c>
      <c r="M8" s="967">
        <f>tab!G4</f>
        <v>2025</v>
      </c>
      <c r="N8" s="967">
        <f>tab!H4</f>
        <v>2026</v>
      </c>
      <c r="O8" s="346"/>
      <c r="R8" s="180"/>
      <c r="V8" s="406"/>
      <c r="W8" s="406"/>
      <c r="X8" s="406"/>
      <c r="Y8" s="406"/>
      <c r="Z8" s="406"/>
    </row>
    <row r="9" spans="2:26" s="294" customFormat="1" ht="12.75" customHeight="1" x14ac:dyDescent="0.3">
      <c r="B9" s="345"/>
      <c r="C9" s="593"/>
      <c r="D9" s="870" t="s">
        <v>102</v>
      </c>
      <c r="E9" s="876"/>
      <c r="F9" s="876"/>
      <c r="G9" s="876"/>
      <c r="H9" s="1293">
        <f>tab!B3</f>
        <v>43739</v>
      </c>
      <c r="I9" s="1293">
        <f>tab!C3</f>
        <v>44105</v>
      </c>
      <c r="J9" s="1293">
        <f>tab!D3</f>
        <v>44470</v>
      </c>
      <c r="K9" s="1293">
        <f>tab!E3</f>
        <v>44835</v>
      </c>
      <c r="L9" s="1293">
        <f>tab!F3</f>
        <v>45200</v>
      </c>
      <c r="M9" s="1293">
        <f>tab!G3</f>
        <v>45566</v>
      </c>
      <c r="N9" s="1293">
        <f>tab!H3</f>
        <v>45931</v>
      </c>
      <c r="O9" s="595"/>
      <c r="R9" s="180"/>
      <c r="V9" s="406"/>
      <c r="W9" s="406"/>
      <c r="X9" s="406"/>
      <c r="Y9" s="406"/>
      <c r="Z9" s="406"/>
    </row>
    <row r="10" spans="2:26" s="294" customFormat="1" ht="12.75" customHeight="1" x14ac:dyDescent="0.3">
      <c r="B10" s="345"/>
      <c r="C10" s="593"/>
      <c r="D10" s="870" t="s">
        <v>473</v>
      </c>
      <c r="E10" s="876"/>
      <c r="F10" s="876"/>
      <c r="G10" s="876"/>
      <c r="H10" s="871">
        <f t="shared" ref="H10" si="0">H8</f>
        <v>2020</v>
      </c>
      <c r="I10" s="871">
        <f t="shared" ref="I10:M10" si="1">I8</f>
        <v>2021</v>
      </c>
      <c r="J10" s="871">
        <f t="shared" si="1"/>
        <v>2022</v>
      </c>
      <c r="K10" s="871">
        <f t="shared" si="1"/>
        <v>2023</v>
      </c>
      <c r="L10" s="871">
        <f t="shared" si="1"/>
        <v>2024</v>
      </c>
      <c r="M10" s="871">
        <f t="shared" si="1"/>
        <v>2025</v>
      </c>
      <c r="N10" s="871">
        <f t="shared" ref="N10" si="2">N8</f>
        <v>2026</v>
      </c>
      <c r="O10" s="595"/>
      <c r="R10" s="180"/>
      <c r="V10" s="406"/>
      <c r="W10" s="406"/>
      <c r="X10" s="406"/>
      <c r="Y10" s="406"/>
      <c r="Z10" s="406"/>
    </row>
    <row r="11" spans="2:26" ht="12.75" customHeight="1" x14ac:dyDescent="0.3">
      <c r="B11" s="61"/>
      <c r="C11" s="62"/>
      <c r="D11" s="583"/>
      <c r="E11" s="78"/>
      <c r="F11" s="78"/>
      <c r="G11" s="78"/>
      <c r="H11" s="78"/>
      <c r="I11" s="307"/>
      <c r="J11" s="596"/>
      <c r="K11" s="596"/>
      <c r="L11" s="596"/>
      <c r="M11" s="596"/>
      <c r="N11" s="596"/>
      <c r="O11" s="65"/>
    </row>
    <row r="12" spans="2:26" ht="12.75" customHeight="1" x14ac:dyDescent="0.3">
      <c r="B12" s="89"/>
      <c r="C12" s="106"/>
      <c r="D12" s="618"/>
      <c r="E12" s="359"/>
      <c r="F12" s="359"/>
      <c r="G12" s="359"/>
      <c r="H12" s="359"/>
      <c r="I12" s="364"/>
      <c r="J12" s="619"/>
      <c r="K12" s="619"/>
      <c r="L12" s="619"/>
      <c r="M12" s="619"/>
      <c r="N12" s="619"/>
      <c r="O12" s="65"/>
    </row>
    <row r="13" spans="2:26" ht="12.75" customHeight="1" x14ac:dyDescent="0.3">
      <c r="B13" s="89"/>
      <c r="C13" s="110"/>
      <c r="D13" s="872" t="s">
        <v>126</v>
      </c>
      <c r="E13" s="115"/>
      <c r="F13" s="115"/>
      <c r="G13" s="115"/>
      <c r="H13" s="115"/>
      <c r="I13" s="620"/>
      <c r="J13" s="621"/>
      <c r="K13" s="621"/>
      <c r="L13" s="621"/>
      <c r="M13" s="621"/>
      <c r="N13" s="621"/>
      <c r="O13" s="65"/>
    </row>
    <row r="14" spans="2:26" ht="12.75" customHeight="1" x14ac:dyDescent="0.3">
      <c r="B14" s="89"/>
      <c r="C14" s="110"/>
      <c r="D14" s="968"/>
      <c r="E14" s="115"/>
      <c r="F14" s="168"/>
      <c r="G14" s="115"/>
      <c r="H14" s="115"/>
      <c r="I14" s="620"/>
      <c r="J14" s="621"/>
      <c r="K14" s="621"/>
      <c r="L14" s="621"/>
      <c r="M14" s="621"/>
      <c r="N14" s="621"/>
      <c r="O14" s="65"/>
    </row>
    <row r="15" spans="2:26" ht="12.75" customHeight="1" x14ac:dyDescent="0.3">
      <c r="B15" s="89"/>
      <c r="C15" s="110"/>
      <c r="D15" s="525" t="s">
        <v>381</v>
      </c>
      <c r="E15" s="115"/>
      <c r="F15" s="168"/>
      <c r="G15" s="115"/>
      <c r="H15" s="115"/>
      <c r="I15" s="620"/>
      <c r="J15" s="621"/>
      <c r="K15" s="621"/>
      <c r="L15" s="621"/>
      <c r="M15" s="621"/>
      <c r="N15" s="621"/>
      <c r="O15" s="65"/>
    </row>
    <row r="16" spans="2:26" s="174" customFormat="1" ht="12.75" customHeight="1" x14ac:dyDescent="0.3">
      <c r="B16" s="184"/>
      <c r="C16" s="205"/>
      <c r="D16" s="123" t="s">
        <v>150</v>
      </c>
      <c r="E16" s="146"/>
      <c r="F16" s="146"/>
      <c r="G16" s="146"/>
      <c r="H16" s="986">
        <f>IF(geg!F43=0,(VLOOKUP(geg!F61,materieel2020,2,FALSE)),(VLOOKUP(geg!F62,materieel2020,2,FALSE))+(VLOOKUP(geg!F63,materieel2020,2,FALSE)))</f>
        <v>92329</v>
      </c>
      <c r="I16" s="986">
        <f>IF(geg!G43=0,(VLOOKUP(geg!G61,materieel2021,2,FALSE)),(VLOOKUP(geg!G62,materieel2021,2,FALSE))+(VLOOKUP(geg!G63,materieel2021,2,FALSE)))</f>
        <v>86609</v>
      </c>
      <c r="J16" s="986">
        <f>IF(geg!H43=0,(VLOOKUP(geg!H61,materieel2022,2,FALSE)),(VLOOKUP(geg!H62,materieel2022,2,FALSE))+(VLOOKUP(geg!H63,materieel2022,2,FALSE)))</f>
        <v>82178</v>
      </c>
      <c r="K16" s="986">
        <f>IF(geg!I43=0,(VLOOKUP(geg!I61,materieel2022,2,FALSE)),(VLOOKUP(geg!I62,materieel2022,2,FALSE))+(VLOOKUP(geg!I63,materieel2022,2,FALSE)))</f>
        <v>82178</v>
      </c>
      <c r="L16" s="986">
        <f>IF(geg!J43=0,(VLOOKUP(geg!J61,materieel2022,2,FALSE)),(VLOOKUP(geg!J62,materieel2022,2,FALSE))+(VLOOKUP(geg!J63,materieel2022,2,FALSE)))</f>
        <v>82178</v>
      </c>
      <c r="M16" s="986">
        <f>IF(geg!K43=0,(VLOOKUP(geg!K61,materieel2022,2,FALSE)),(VLOOKUP(geg!K62,materieel2022,2,FALSE))+(VLOOKUP(geg!K63,materieel2022,2,FALSE)))</f>
        <v>82178</v>
      </c>
      <c r="N16" s="986">
        <f>IF(geg!L43=0,(VLOOKUP(geg!L61,materieel2021,2,FALSE)),(VLOOKUP(geg!L62,materieel2021,2,FALSE))+(VLOOKUP(geg!L63,materieel2021,2,FALSE)))</f>
        <v>79758</v>
      </c>
      <c r="O16" s="597"/>
      <c r="R16" s="409"/>
    </row>
    <row r="17" spans="2:18" ht="12.75" customHeight="1" x14ac:dyDescent="0.3">
      <c r="B17" s="61"/>
      <c r="C17" s="114"/>
      <c r="D17" s="123" t="s">
        <v>152</v>
      </c>
      <c r="E17" s="112"/>
      <c r="F17" s="112"/>
      <c r="G17" s="112"/>
      <c r="H17" s="986">
        <f>IF(geg!F$25=0,0,(+tab!$C59+(tab!$D59*geg!F$25)))</f>
        <v>65983.570000000007</v>
      </c>
      <c r="I17" s="986">
        <f>IF(geg!G$25=0,0,(+tab!$H59+(tab!$I59*geg!G$25)))</f>
        <v>60192.39</v>
      </c>
      <c r="J17" s="986">
        <f>IF(geg!H$25=0,0,(+tab!$M59+(tab!$N59*geg!H$25)))</f>
        <v>56635.72</v>
      </c>
      <c r="K17" s="986">
        <f>IF(geg!I$25=0,0,(+tab!$M59+(tab!$N59*geg!I$25)))</f>
        <v>56635.72</v>
      </c>
      <c r="L17" s="986">
        <f>IF(geg!J$25=0,0,(+tab!$M59+(tab!$N59*geg!J$25)))</f>
        <v>56635.72</v>
      </c>
      <c r="M17" s="986">
        <f>IF(geg!K$25=0,0,(+tab!$M59+(tab!$N59*geg!K$25)))</f>
        <v>56635.72</v>
      </c>
      <c r="N17" s="986">
        <f>IF(geg!L$25=0,0,(+tab!$M59+(tab!$N59*geg!L$25)))</f>
        <v>56635.72</v>
      </c>
      <c r="O17" s="598"/>
    </row>
    <row r="18" spans="2:18" s="11" customFormat="1" ht="12.75" customHeight="1" x14ac:dyDescent="0.3">
      <c r="B18" s="89"/>
      <c r="C18" s="110"/>
      <c r="D18" s="825" t="s">
        <v>459</v>
      </c>
      <c r="E18" s="146"/>
      <c r="F18" s="146"/>
      <c r="G18" s="146"/>
      <c r="H18" s="986">
        <f>IF(geg!F$27=0,0,(+tab!$C61+(tab!$D61*geg!F$27)))</f>
        <v>18708.4728048</v>
      </c>
      <c r="I18" s="986">
        <f>IF(geg!G$27=0,0,(+tab!$H61+(tab!$I61*geg!G$27)))</f>
        <v>17950.305924799999</v>
      </c>
      <c r="J18" s="986">
        <f>IF(geg!H$27=0,0,(+tab!$M61+(tab!$N61*geg!H$27)))</f>
        <v>18490.661316799997</v>
      </c>
      <c r="K18" s="986">
        <f>IF(geg!I$27=0,0,(+tab!$M61+(tab!$N61*geg!I$27)))</f>
        <v>18490.661316799997</v>
      </c>
      <c r="L18" s="986">
        <f>IF(geg!J$27=0,0,(+tab!$M61+(tab!$N61*geg!J$27)))</f>
        <v>18490.661316799997</v>
      </c>
      <c r="M18" s="986">
        <f>IF(geg!K$27=0,0,(+tab!$M61+(tab!$N61*geg!K$27)))</f>
        <v>18490.661316799997</v>
      </c>
      <c r="N18" s="986">
        <f>IF(geg!L$27=0,0,(+tab!$M61+(tab!$N61*geg!L$27)))</f>
        <v>18490.661316799997</v>
      </c>
      <c r="O18" s="599"/>
      <c r="R18" s="409"/>
    </row>
    <row r="19" spans="2:18" s="11" customFormat="1" ht="12.75" customHeight="1" x14ac:dyDescent="0.3">
      <c r="B19" s="89"/>
      <c r="C19" s="110"/>
      <c r="D19" s="207"/>
      <c r="E19" s="118"/>
      <c r="F19" s="200">
        <v>0</v>
      </c>
      <c r="G19" s="118"/>
      <c r="H19" s="985">
        <f t="shared" ref="H19" si="3">SUM(H16:H18)</f>
        <v>177021.0428048</v>
      </c>
      <c r="I19" s="985">
        <f t="shared" ref="I19:M19" si="4">SUM(I16:I18)</f>
        <v>164751.69592480001</v>
      </c>
      <c r="J19" s="985">
        <f t="shared" si="4"/>
        <v>157304.38131679999</v>
      </c>
      <c r="K19" s="985">
        <f t="shared" si="4"/>
        <v>157304.38131679999</v>
      </c>
      <c r="L19" s="985">
        <f t="shared" si="4"/>
        <v>157304.38131679999</v>
      </c>
      <c r="M19" s="985">
        <f t="shared" si="4"/>
        <v>157304.38131679999</v>
      </c>
      <c r="N19" s="985">
        <f t="shared" ref="N19" si="5">SUM(N16:N18)</f>
        <v>154884.38131679999</v>
      </c>
      <c r="O19" s="599"/>
      <c r="R19" s="409"/>
    </row>
    <row r="20" spans="2:18" ht="12.75" customHeight="1" x14ac:dyDescent="0.3">
      <c r="B20" s="61"/>
      <c r="C20" s="110"/>
      <c r="D20" s="1172" t="s">
        <v>546</v>
      </c>
      <c r="E20" s="118"/>
      <c r="F20" s="118"/>
      <c r="G20" s="167"/>
      <c r="H20" s="167"/>
      <c r="I20" s="167"/>
      <c r="J20" s="167"/>
      <c r="K20" s="167"/>
      <c r="L20" s="167"/>
      <c r="M20" s="167"/>
      <c r="N20" s="167"/>
      <c r="O20" s="599"/>
    </row>
    <row r="21" spans="2:18" ht="12.75" customHeight="1" x14ac:dyDescent="0.3">
      <c r="B21" s="61"/>
      <c r="C21" s="110"/>
      <c r="D21" s="388" t="s">
        <v>627</v>
      </c>
      <c r="E21" s="112"/>
      <c r="F21" s="200">
        <v>0</v>
      </c>
      <c r="G21" s="118"/>
      <c r="H21" s="266">
        <f>0*tab!B48</f>
        <v>0</v>
      </c>
      <c r="I21" s="266">
        <v>0</v>
      </c>
      <c r="J21" s="266">
        <v>0</v>
      </c>
      <c r="K21" s="266">
        <v>0</v>
      </c>
      <c r="L21" s="266">
        <v>0</v>
      </c>
      <c r="M21" s="266">
        <v>0</v>
      </c>
      <c r="N21" s="266">
        <v>0</v>
      </c>
      <c r="O21" s="599"/>
    </row>
    <row r="22" spans="2:18" ht="12.75" customHeight="1" x14ac:dyDescent="0.3">
      <c r="B22" s="61"/>
      <c r="C22" s="110"/>
      <c r="D22" s="388"/>
      <c r="E22" s="118"/>
      <c r="F22" s="200">
        <v>0</v>
      </c>
      <c r="G22" s="118"/>
      <c r="H22" s="266">
        <v>0</v>
      </c>
      <c r="I22" s="266">
        <v>0</v>
      </c>
      <c r="J22" s="266">
        <v>0</v>
      </c>
      <c r="K22" s="266">
        <v>0</v>
      </c>
      <c r="L22" s="266">
        <v>0</v>
      </c>
      <c r="M22" s="266">
        <v>0</v>
      </c>
      <c r="N22" s="266">
        <v>0</v>
      </c>
      <c r="O22" s="599"/>
    </row>
    <row r="23" spans="2:18" ht="12.75" customHeight="1" x14ac:dyDescent="0.3">
      <c r="B23" s="61"/>
      <c r="C23" s="110"/>
      <c r="D23" s="388"/>
      <c r="E23" s="118"/>
      <c r="F23" s="200">
        <v>0</v>
      </c>
      <c r="G23" s="118"/>
      <c r="H23" s="266">
        <v>0</v>
      </c>
      <c r="I23" s="266">
        <v>0</v>
      </c>
      <c r="J23" s="266">
        <v>0</v>
      </c>
      <c r="K23" s="266">
        <v>0</v>
      </c>
      <c r="L23" s="266">
        <v>0</v>
      </c>
      <c r="M23" s="266">
        <v>0</v>
      </c>
      <c r="N23" s="266">
        <v>0</v>
      </c>
      <c r="O23" s="599"/>
    </row>
    <row r="24" spans="2:18" ht="12.75" customHeight="1" x14ac:dyDescent="0.3">
      <c r="B24" s="61"/>
      <c r="C24" s="110"/>
      <c r="D24" s="207"/>
      <c r="E24" s="118"/>
      <c r="F24" s="118"/>
      <c r="G24" s="118"/>
      <c r="H24" s="983">
        <f t="shared" ref="H24" si="6">SUM(H21:H23)</f>
        <v>0</v>
      </c>
      <c r="I24" s="983">
        <f t="shared" ref="I24:M24" si="7">SUM(I21:I23)</f>
        <v>0</v>
      </c>
      <c r="J24" s="983">
        <f t="shared" si="7"/>
        <v>0</v>
      </c>
      <c r="K24" s="983">
        <f t="shared" si="7"/>
        <v>0</v>
      </c>
      <c r="L24" s="983">
        <f t="shared" si="7"/>
        <v>0</v>
      </c>
      <c r="M24" s="983">
        <f t="shared" si="7"/>
        <v>0</v>
      </c>
      <c r="N24" s="983">
        <f t="shared" ref="N24" si="8">SUM(N21:N23)</f>
        <v>0</v>
      </c>
      <c r="O24" s="599"/>
    </row>
    <row r="25" spans="2:18" ht="12.75" customHeight="1" x14ac:dyDescent="0.3">
      <c r="B25" s="61"/>
      <c r="C25" s="110"/>
      <c r="D25" s="1172" t="s">
        <v>555</v>
      </c>
      <c r="E25" s="118"/>
      <c r="F25" s="118"/>
      <c r="G25" s="118"/>
      <c r="H25" s="824"/>
      <c r="I25" s="824"/>
      <c r="J25" s="824"/>
      <c r="K25" s="824"/>
      <c r="L25" s="824"/>
      <c r="M25" s="824"/>
      <c r="N25" s="824"/>
      <c r="O25" s="599"/>
    </row>
    <row r="26" spans="2:18" ht="12.75" customHeight="1" x14ac:dyDescent="0.3">
      <c r="B26" s="61"/>
      <c r="C26" s="110"/>
      <c r="D26" s="146" t="s">
        <v>96</v>
      </c>
      <c r="E26" s="877"/>
      <c r="F26" s="877"/>
      <c r="G26" s="877"/>
      <c r="H26" s="877"/>
      <c r="I26" s="877"/>
      <c r="J26" s="877"/>
      <c r="K26" s="877"/>
      <c r="L26" s="877"/>
      <c r="M26" s="877"/>
      <c r="N26" s="877"/>
      <c r="O26" s="599"/>
    </row>
    <row r="27" spans="2:18" ht="12.75" customHeight="1" x14ac:dyDescent="0.3">
      <c r="B27" s="61"/>
      <c r="C27" s="110"/>
      <c r="D27" s="482" t="s">
        <v>150</v>
      </c>
      <c r="E27" s="874"/>
      <c r="F27" s="874"/>
      <c r="G27" s="874"/>
      <c r="H27" s="989">
        <f>IF(geg!F44=0,(VLOOKUP(geg!F71,materieel2020,2,FALSE)),(VLOOKUP(geg!F72,materieel2020,2,FALSE))+(VLOOKUP(geg!F73,materieel2020,2,FALSE)))</f>
        <v>92329</v>
      </c>
      <c r="I27" s="989">
        <f>IF(geg!G44=0,(VLOOKUP(geg!G71,materieel2021,2,FALSE)),(VLOOKUP(geg!G72,materieel2021,2,FALSE))+(VLOOKUP(geg!G73,materieel2021,2,FALSE)))</f>
        <v>86609</v>
      </c>
      <c r="J27" s="989">
        <f>IF(geg!H44=0,(VLOOKUP(geg!H71,materieel2022,2,FALSE)),(VLOOKUP(geg!H72,materieel2022,2,FALSE))+(VLOOKUP(geg!H73,materieel2022,2,FALSE)))</f>
        <v>89237</v>
      </c>
      <c r="K27" s="989">
        <f>IF(geg!I44=0,(VLOOKUP(geg!I71,materieel2022,2,FALSE)),(VLOOKUP(geg!I72,materieel2022,2,FALSE))+(VLOOKUP(geg!I73,materieel2022,2,FALSE)))</f>
        <v>89237</v>
      </c>
      <c r="L27" s="989">
        <f>IF(geg!J44=0,(VLOOKUP(geg!J71,materieel2022,2,FALSE)),(VLOOKUP(geg!J72,materieel2022,2,FALSE))+(VLOOKUP(geg!J73,materieel2022,2,FALSE)))</f>
        <v>89237</v>
      </c>
      <c r="M27" s="989">
        <f>IF(geg!K44=0,(VLOOKUP(geg!K71,materieel2022,2,FALSE)),(VLOOKUP(geg!K72,materieel2022,2,FALSE))+(VLOOKUP(geg!K73,materieel2022,2,FALSE)))</f>
        <v>89237</v>
      </c>
      <c r="N27" s="989">
        <f>IF(geg!L44=0,(VLOOKUP(geg!L71,materieel2021,2,FALSE)),(VLOOKUP(geg!L72,materieel2021,2,FALSE))+(VLOOKUP(geg!L73,materieel2021,2,FALSE)))</f>
        <v>86609</v>
      </c>
      <c r="O27" s="599"/>
    </row>
    <row r="28" spans="2:18" ht="12.75" customHeight="1" x14ac:dyDescent="0.3">
      <c r="B28" s="61"/>
      <c r="C28" s="110"/>
      <c r="D28" s="482" t="s">
        <v>152</v>
      </c>
      <c r="E28" s="874"/>
      <c r="F28" s="874"/>
      <c r="G28" s="874"/>
      <c r="H28" s="989">
        <f>IF(geg!F$30=0,0,(tab!$C59+(tab!$D59*geg!F$30)))</f>
        <v>65983.570000000007</v>
      </c>
      <c r="I28" s="989">
        <f>IF(geg!G$30=0,0,(tab!$H59+(tab!$I59*geg!G$30)))</f>
        <v>60192.39</v>
      </c>
      <c r="J28" s="989">
        <f>IF(geg!H$30=0,0,(tab!$M59+(tab!$N59*geg!H$30)))</f>
        <v>62002.270000000004</v>
      </c>
      <c r="K28" s="989">
        <f>IF(geg!I$30=0,0,(tab!$M59+(tab!$N59*geg!I$30)))</f>
        <v>62002.270000000004</v>
      </c>
      <c r="L28" s="989">
        <f>IF(geg!J$30=0,0,(tab!$M59+(tab!$N59*geg!J$30)))</f>
        <v>62002.270000000004</v>
      </c>
      <c r="M28" s="989">
        <f>IF(geg!K$30=0,0,(tab!$M59+(tab!$N59*geg!K$30)))</f>
        <v>62002.270000000004</v>
      </c>
      <c r="N28" s="989">
        <f>IF(geg!L$30=0,0,(tab!$M59+(tab!$N59*geg!L$30)))</f>
        <v>62002.270000000004</v>
      </c>
      <c r="O28" s="599"/>
    </row>
    <row r="29" spans="2:18" ht="12.75" customHeight="1" x14ac:dyDescent="0.3">
      <c r="B29" s="61"/>
      <c r="C29" s="110"/>
      <c r="D29" s="482" t="s">
        <v>329</v>
      </c>
      <c r="E29" s="874"/>
      <c r="F29" s="874"/>
      <c r="G29" s="874"/>
      <c r="H29" s="989">
        <f>IF(geg!F30=0,0,(tab!$GX61+(tab!$D61*geg!F30)))</f>
        <v>35823.480000000003</v>
      </c>
      <c r="I29" s="989">
        <f>IF(geg!G30=0,0,(tab!$H61+(tab!$I61*geg!G30)))</f>
        <v>31571.760000000002</v>
      </c>
      <c r="J29" s="989">
        <f>IF(geg!H30=0,0,(tab!$M61+(tab!$N61*geg!H30)))</f>
        <v>32522.16</v>
      </c>
      <c r="K29" s="989">
        <f>IF(geg!I30=0,0,(tab!$M61+(tab!$N61*geg!I30)))</f>
        <v>32522.16</v>
      </c>
      <c r="L29" s="989">
        <f>IF(geg!J30=0,0,(tab!$M61+(tab!$N61*geg!J30)))</f>
        <v>32522.16</v>
      </c>
      <c r="M29" s="989">
        <f>IF(geg!K30=0,0,(tab!$M61+(tab!$N61*geg!K30)))</f>
        <v>32522.16</v>
      </c>
      <c r="N29" s="989">
        <f>IF(geg!L30=0,0,(tab!$M61+(tab!$N61*geg!L30)))</f>
        <v>32522.16</v>
      </c>
      <c r="O29" s="599"/>
    </row>
    <row r="30" spans="2:18" ht="12.75" customHeight="1" x14ac:dyDescent="0.3">
      <c r="B30" s="61"/>
      <c r="C30" s="110"/>
      <c r="D30" s="146" t="s">
        <v>269</v>
      </c>
      <c r="E30" s="877"/>
      <c r="F30" s="877"/>
      <c r="G30" s="877"/>
      <c r="H30" s="990">
        <f t="shared" ref="H30" si="9">SUM(H27:H29)</f>
        <v>194136.05000000002</v>
      </c>
      <c r="I30" s="990">
        <f t="shared" ref="I30:M30" si="10">SUM(I27:I29)</f>
        <v>178373.15000000002</v>
      </c>
      <c r="J30" s="990">
        <f t="shared" si="10"/>
        <v>183761.43000000002</v>
      </c>
      <c r="K30" s="990">
        <f t="shared" si="10"/>
        <v>183761.43000000002</v>
      </c>
      <c r="L30" s="990">
        <f t="shared" si="10"/>
        <v>183761.43000000002</v>
      </c>
      <c r="M30" s="990">
        <f t="shared" si="10"/>
        <v>183761.43000000002</v>
      </c>
      <c r="N30" s="990">
        <f t="shared" ref="N30" si="11">SUM(N27:N29)</f>
        <v>181133.43000000002</v>
      </c>
      <c r="O30" s="599"/>
    </row>
    <row r="31" spans="2:18" ht="12.75" customHeight="1" x14ac:dyDescent="0.3">
      <c r="B31" s="61"/>
      <c r="C31" s="110"/>
      <c r="D31" s="123" t="s">
        <v>154</v>
      </c>
      <c r="E31" s="118"/>
      <c r="F31" s="115"/>
      <c r="G31" s="115"/>
      <c r="H31" s="986">
        <f>IF(geg!F25=0,0,(geg!F25-geg!F27)*tab!$D61)</f>
        <v>17115.0071952</v>
      </c>
      <c r="I31" s="986">
        <f>IF(geg!G25=0,0,(geg!G25-geg!G27)*tab!$N61)</f>
        <v>14031.498683200001</v>
      </c>
      <c r="J31" s="986">
        <f>IF(geg!H25=0,0,(geg!H25-geg!H27)*tab!$N61)</f>
        <v>10335.798683200002</v>
      </c>
      <c r="K31" s="986">
        <f>IF(geg!I25=0,0,(geg!I25-geg!I27)*tab!$N61)</f>
        <v>10335.798683200002</v>
      </c>
      <c r="L31" s="986">
        <f>IF(geg!J25=0,0,(geg!J25-geg!J27)*tab!$N61)</f>
        <v>10335.798683200002</v>
      </c>
      <c r="M31" s="986">
        <f>IF(geg!K25=0,0,(geg!K25-geg!K27)*tab!$N61)</f>
        <v>10335.798683200002</v>
      </c>
      <c r="N31" s="986">
        <f>IF(geg!L25=0,0,(geg!L25-geg!L27)*tab!$N61)</f>
        <v>10335.798683200002</v>
      </c>
      <c r="O31" s="599"/>
    </row>
    <row r="32" spans="2:18" ht="12.75" customHeight="1" x14ac:dyDescent="0.3">
      <c r="B32" s="61"/>
      <c r="C32" s="110"/>
      <c r="D32" s="123" t="s">
        <v>155</v>
      </c>
      <c r="E32" s="118"/>
      <c r="F32" s="112"/>
      <c r="G32" s="112"/>
      <c r="H32" s="987">
        <f>IF(geg!$F$56="ja",IF((H30-H31-H19)&lt;0,0,H30-H31-H19),0)</f>
        <v>2.9103830456733704E-11</v>
      </c>
      <c r="I32" s="987">
        <f>IF(geg!$F$56="ja",IF((I30-I31-I19)&lt;0,0,I30-I31-I19),0)</f>
        <v>0</v>
      </c>
      <c r="J32" s="987">
        <f>IF(geg!$F$56="ja",IF((J30-J31-J19)&lt;0,0,J30-J31-J19),0)</f>
        <v>16121.250000000029</v>
      </c>
      <c r="K32" s="987">
        <f>IF(geg!$F$56="ja",IF((K30-K31-K19)&lt;0,0,K30-K31-K19),0)</f>
        <v>16121.250000000029</v>
      </c>
      <c r="L32" s="987">
        <f>IF(geg!$F$56="ja",IF((L30-L31-L19)&lt;0,0,L30-L31-L19),0)</f>
        <v>16121.250000000029</v>
      </c>
      <c r="M32" s="987">
        <f>IF(geg!$F$56="ja",IF((M30-M31-M19)&lt;0,0,M30-M31-M19),0)</f>
        <v>16121.250000000029</v>
      </c>
      <c r="N32" s="987">
        <f>IF(geg!$F$56="ja",IF((N30-N31-N19)&lt;0,0,N30-N31-N19),0)</f>
        <v>15913.250000000029</v>
      </c>
      <c r="O32" s="599"/>
    </row>
    <row r="33" spans="2:29" ht="12.75" customHeight="1" x14ac:dyDescent="0.3">
      <c r="B33" s="61"/>
      <c r="C33" s="110"/>
      <c r="D33" s="1030"/>
      <c r="E33" s="112"/>
      <c r="F33" s="118"/>
      <c r="G33" s="112"/>
      <c r="H33" s="203">
        <v>0</v>
      </c>
      <c r="I33" s="203">
        <v>0</v>
      </c>
      <c r="J33" s="203">
        <v>0</v>
      </c>
      <c r="K33" s="203">
        <v>0</v>
      </c>
      <c r="L33" s="203">
        <v>0</v>
      </c>
      <c r="M33" s="203">
        <v>0</v>
      </c>
      <c r="N33" s="203">
        <v>0</v>
      </c>
      <c r="O33" s="599"/>
    </row>
    <row r="34" spans="2:29" ht="12.75" customHeight="1" x14ac:dyDescent="0.3">
      <c r="B34" s="61"/>
      <c r="C34" s="110"/>
      <c r="D34" s="1030"/>
      <c r="E34" s="112"/>
      <c r="F34" s="118"/>
      <c r="G34" s="112"/>
      <c r="H34" s="203">
        <v>0</v>
      </c>
      <c r="I34" s="203">
        <v>0</v>
      </c>
      <c r="J34" s="203">
        <v>0</v>
      </c>
      <c r="K34" s="203">
        <v>0</v>
      </c>
      <c r="L34" s="203">
        <v>0</v>
      </c>
      <c r="M34" s="203">
        <v>0</v>
      </c>
      <c r="N34" s="203">
        <v>0</v>
      </c>
      <c r="O34" s="599"/>
    </row>
    <row r="35" spans="2:29" ht="12.75" customHeight="1" x14ac:dyDescent="0.3">
      <c r="B35" s="61"/>
      <c r="C35" s="110"/>
      <c r="D35" s="1030"/>
      <c r="E35" s="112"/>
      <c r="F35" s="118"/>
      <c r="G35" s="112"/>
      <c r="H35" s="203">
        <v>0</v>
      </c>
      <c r="I35" s="203">
        <v>0</v>
      </c>
      <c r="J35" s="203">
        <v>0</v>
      </c>
      <c r="K35" s="203">
        <v>0</v>
      </c>
      <c r="L35" s="203">
        <v>0</v>
      </c>
      <c r="M35" s="203">
        <v>0</v>
      </c>
      <c r="N35" s="203">
        <v>0</v>
      </c>
      <c r="O35" s="599"/>
    </row>
    <row r="36" spans="2:29" ht="12.75" customHeight="1" x14ac:dyDescent="0.3">
      <c r="B36" s="61"/>
      <c r="C36" s="110"/>
      <c r="D36" s="1030"/>
      <c r="E36" s="112"/>
      <c r="F36" s="118"/>
      <c r="G36" s="112"/>
      <c r="H36" s="203">
        <v>0</v>
      </c>
      <c r="I36" s="203">
        <v>0</v>
      </c>
      <c r="J36" s="203">
        <v>0</v>
      </c>
      <c r="K36" s="203">
        <v>0</v>
      </c>
      <c r="L36" s="203">
        <v>0</v>
      </c>
      <c r="M36" s="203">
        <v>0</v>
      </c>
      <c r="N36" s="203">
        <v>0</v>
      </c>
      <c r="O36" s="599"/>
    </row>
    <row r="37" spans="2:29" ht="12.75" customHeight="1" x14ac:dyDescent="0.3">
      <c r="B37" s="61"/>
      <c r="C37" s="110"/>
      <c r="D37" s="1030"/>
      <c r="E37" s="112"/>
      <c r="F37" s="118"/>
      <c r="G37" s="112"/>
      <c r="H37" s="203">
        <v>0</v>
      </c>
      <c r="I37" s="203">
        <v>0</v>
      </c>
      <c r="J37" s="203">
        <v>0</v>
      </c>
      <c r="K37" s="203">
        <v>0</v>
      </c>
      <c r="L37" s="203">
        <v>0</v>
      </c>
      <c r="M37" s="203">
        <v>0</v>
      </c>
      <c r="N37" s="203">
        <v>0</v>
      </c>
      <c r="O37" s="599"/>
    </row>
    <row r="38" spans="2:29" ht="12.75" customHeight="1" x14ac:dyDescent="0.3">
      <c r="B38" s="61"/>
      <c r="C38" s="110"/>
      <c r="D38" s="207"/>
      <c r="E38" s="118"/>
      <c r="F38" s="118"/>
      <c r="G38" s="118"/>
      <c r="H38" s="991">
        <f t="shared" ref="H38" si="12">SUM(H31:H37)</f>
        <v>17115.007195200029</v>
      </c>
      <c r="I38" s="991">
        <f t="shared" ref="I38:M38" si="13">SUM(I31:I37)</f>
        <v>14031.498683200001</v>
      </c>
      <c r="J38" s="991">
        <f t="shared" si="13"/>
        <v>26457.048683200032</v>
      </c>
      <c r="K38" s="991">
        <f t="shared" si="13"/>
        <v>26457.048683200032</v>
      </c>
      <c r="L38" s="991">
        <f t="shared" si="13"/>
        <v>26457.048683200032</v>
      </c>
      <c r="M38" s="991">
        <f t="shared" si="13"/>
        <v>26457.048683200032</v>
      </c>
      <c r="N38" s="991">
        <f t="shared" ref="N38" si="14">SUM(N31:N37)</f>
        <v>26249.048683200032</v>
      </c>
      <c r="O38" s="599"/>
    </row>
    <row r="39" spans="2:29" ht="12.75" customHeight="1" x14ac:dyDescent="0.3">
      <c r="B39" s="61"/>
      <c r="C39" s="110"/>
      <c r="D39" s="487" t="s">
        <v>79</v>
      </c>
      <c r="E39" s="118"/>
      <c r="F39" s="118"/>
      <c r="G39" s="112"/>
      <c r="H39" s="112"/>
      <c r="I39" s="112"/>
      <c r="J39" s="112"/>
      <c r="K39" s="112"/>
      <c r="L39" s="112"/>
      <c r="M39" s="112"/>
      <c r="N39" s="112"/>
      <c r="O39" s="599"/>
    </row>
    <row r="40" spans="2:29" ht="12.75" customHeight="1" x14ac:dyDescent="0.3">
      <c r="B40" s="61"/>
      <c r="C40" s="110"/>
      <c r="D40" s="525" t="s">
        <v>80</v>
      </c>
      <c r="E40" s="118"/>
      <c r="F40" s="118"/>
      <c r="G40" s="112"/>
      <c r="H40" s="112"/>
      <c r="I40" s="112"/>
      <c r="J40" s="112"/>
      <c r="K40" s="112"/>
      <c r="L40" s="112"/>
      <c r="M40" s="112"/>
      <c r="N40" s="112"/>
      <c r="O40" s="599"/>
    </row>
    <row r="41" spans="2:29" ht="12.75" customHeight="1" x14ac:dyDescent="0.3">
      <c r="B41" s="61"/>
      <c r="C41" s="110"/>
      <c r="D41" s="472" t="s">
        <v>95</v>
      </c>
      <c r="E41" s="118"/>
      <c r="G41" s="112"/>
      <c r="H41" s="924">
        <f t="shared" ref="H41" si="15">$F$19*H19+$F$21*H21+$F$22*H22+$F$23*H23</f>
        <v>0</v>
      </c>
      <c r="I41" s="924">
        <f t="shared" ref="I41:M41" si="16">$F$19*I19+$F$21*I21+$F$22*I22+$F$23*I23</f>
        <v>0</v>
      </c>
      <c r="J41" s="924">
        <f t="shared" si="16"/>
        <v>0</v>
      </c>
      <c r="K41" s="924">
        <f t="shared" si="16"/>
        <v>0</v>
      </c>
      <c r="L41" s="924">
        <f t="shared" si="16"/>
        <v>0</v>
      </c>
      <c r="M41" s="924">
        <f t="shared" si="16"/>
        <v>0</v>
      </c>
      <c r="N41" s="924">
        <f t="shared" ref="N41" si="17">$F$19*N19+$F$21*N21+$F$22*N22+$F$23*N23</f>
        <v>0</v>
      </c>
      <c r="O41" s="599"/>
    </row>
    <row r="42" spans="2:29" ht="12.75" customHeight="1" x14ac:dyDescent="0.3">
      <c r="B42" s="61"/>
      <c r="C42" s="110"/>
      <c r="D42" s="1030"/>
      <c r="E42" s="112"/>
      <c r="F42" s="118"/>
      <c r="G42" s="112"/>
      <c r="H42" s="203">
        <v>0</v>
      </c>
      <c r="I42" s="203">
        <v>0</v>
      </c>
      <c r="J42" s="203">
        <v>0</v>
      </c>
      <c r="K42" s="203">
        <v>0</v>
      </c>
      <c r="L42" s="203">
        <v>0</v>
      </c>
      <c r="M42" s="203">
        <v>0</v>
      </c>
      <c r="N42" s="203">
        <v>0</v>
      </c>
      <c r="O42" s="599"/>
    </row>
    <row r="43" spans="2:29" ht="12.75" customHeight="1" x14ac:dyDescent="0.3">
      <c r="B43" s="61"/>
      <c r="C43" s="110"/>
      <c r="D43" s="1030"/>
      <c r="E43" s="112"/>
      <c r="F43" s="118"/>
      <c r="G43" s="112"/>
      <c r="H43" s="203">
        <v>0</v>
      </c>
      <c r="I43" s="203">
        <v>0</v>
      </c>
      <c r="J43" s="203">
        <v>0</v>
      </c>
      <c r="K43" s="203">
        <v>0</v>
      </c>
      <c r="L43" s="203">
        <v>0</v>
      </c>
      <c r="M43" s="203">
        <v>0</v>
      </c>
      <c r="N43" s="203">
        <v>0</v>
      </c>
      <c r="O43" s="599"/>
      <c r="R43" s="440"/>
    </row>
    <row r="44" spans="2:29" ht="12.75" customHeight="1" x14ac:dyDescent="0.3">
      <c r="B44" s="61"/>
      <c r="C44" s="110"/>
      <c r="D44" s="1030"/>
      <c r="E44" s="112"/>
      <c r="F44" s="116"/>
      <c r="G44" s="112"/>
      <c r="H44" s="203">
        <v>0</v>
      </c>
      <c r="I44" s="203">
        <v>0</v>
      </c>
      <c r="J44" s="203">
        <v>0</v>
      </c>
      <c r="K44" s="203">
        <v>0</v>
      </c>
      <c r="L44" s="203">
        <v>0</v>
      </c>
      <c r="M44" s="203">
        <v>0</v>
      </c>
      <c r="N44" s="203">
        <v>0</v>
      </c>
      <c r="O44" s="599"/>
    </row>
    <row r="45" spans="2:29" ht="12.75" customHeight="1" x14ac:dyDescent="0.3">
      <c r="B45" s="61"/>
      <c r="C45" s="110"/>
      <c r="D45" s="1030"/>
      <c r="E45" s="112"/>
      <c r="F45" s="116"/>
      <c r="G45" s="112"/>
      <c r="H45" s="203">
        <v>0</v>
      </c>
      <c r="I45" s="203">
        <v>0</v>
      </c>
      <c r="J45" s="203">
        <v>0</v>
      </c>
      <c r="K45" s="203">
        <v>0</v>
      </c>
      <c r="L45" s="203">
        <v>0</v>
      </c>
      <c r="M45" s="203">
        <v>0</v>
      </c>
      <c r="N45" s="203">
        <v>0</v>
      </c>
      <c r="O45" s="599"/>
    </row>
    <row r="46" spans="2:29" ht="12.75" customHeight="1" x14ac:dyDescent="0.3">
      <c r="B46" s="61"/>
      <c r="C46" s="110"/>
      <c r="D46" s="123"/>
      <c r="E46" s="112"/>
      <c r="F46" s="116"/>
      <c r="G46" s="112"/>
      <c r="H46" s="984">
        <f t="shared" ref="H46" si="18">SUM(H41:H45)</f>
        <v>0</v>
      </c>
      <c r="I46" s="984">
        <f t="shared" ref="I46:M46" si="19">SUM(I41:I45)</f>
        <v>0</v>
      </c>
      <c r="J46" s="984">
        <f t="shared" si="19"/>
        <v>0</v>
      </c>
      <c r="K46" s="984">
        <f t="shared" si="19"/>
        <v>0</v>
      </c>
      <c r="L46" s="984">
        <f t="shared" si="19"/>
        <v>0</v>
      </c>
      <c r="M46" s="984">
        <f t="shared" si="19"/>
        <v>0</v>
      </c>
      <c r="N46" s="984">
        <f t="shared" ref="N46" si="20">SUM(N41:N45)</f>
        <v>0</v>
      </c>
      <c r="O46" s="599"/>
    </row>
    <row r="47" spans="2:29" ht="12.75" customHeight="1" x14ac:dyDescent="0.3">
      <c r="B47" s="61"/>
      <c r="C47" s="110"/>
      <c r="D47" s="482" t="s">
        <v>82</v>
      </c>
      <c r="E47" s="112"/>
      <c r="F47" s="116"/>
      <c r="G47" s="112"/>
      <c r="H47" s="112"/>
      <c r="I47" s="112"/>
      <c r="J47" s="112"/>
      <c r="K47" s="112"/>
      <c r="L47" s="112"/>
      <c r="M47" s="112"/>
      <c r="N47" s="112"/>
      <c r="O47" s="599"/>
      <c r="Q47" s="11"/>
      <c r="S47" s="11"/>
      <c r="T47" s="11"/>
      <c r="U47" s="11"/>
      <c r="V47" s="11"/>
      <c r="W47" s="11"/>
      <c r="X47" s="11"/>
      <c r="Y47" s="11"/>
      <c r="Z47" s="11"/>
      <c r="AA47" s="11"/>
      <c r="AB47" s="11"/>
      <c r="AC47" s="11"/>
    </row>
    <row r="48" spans="2:29" ht="12.75" customHeight="1" x14ac:dyDescent="0.3">
      <c r="B48" s="61"/>
      <c r="C48" s="110"/>
      <c r="D48" s="1030"/>
      <c r="E48" s="112"/>
      <c r="F48" s="116"/>
      <c r="G48" s="112"/>
      <c r="H48" s="203">
        <v>0</v>
      </c>
      <c r="I48" s="203">
        <v>0</v>
      </c>
      <c r="J48" s="203">
        <v>0</v>
      </c>
      <c r="K48" s="203">
        <v>0</v>
      </c>
      <c r="L48" s="203">
        <v>0</v>
      </c>
      <c r="M48" s="203">
        <v>0</v>
      </c>
      <c r="N48" s="203">
        <v>0</v>
      </c>
      <c r="O48" s="599"/>
    </row>
    <row r="49" spans="2:29" ht="12.75" customHeight="1" x14ac:dyDescent="0.3">
      <c r="B49" s="61"/>
      <c r="C49" s="110"/>
      <c r="D49" s="1030"/>
      <c r="E49" s="112"/>
      <c r="F49" s="116"/>
      <c r="G49" s="112"/>
      <c r="H49" s="203">
        <v>0</v>
      </c>
      <c r="I49" s="203">
        <v>0</v>
      </c>
      <c r="J49" s="203">
        <v>0</v>
      </c>
      <c r="K49" s="203">
        <v>0</v>
      </c>
      <c r="L49" s="203">
        <v>0</v>
      </c>
      <c r="M49" s="203">
        <v>0</v>
      </c>
      <c r="N49" s="203">
        <v>0</v>
      </c>
      <c r="O49" s="599"/>
    </row>
    <row r="50" spans="2:29" ht="12.75" customHeight="1" x14ac:dyDescent="0.3">
      <c r="B50" s="61"/>
      <c r="C50" s="110"/>
      <c r="D50" s="1030"/>
      <c r="E50" s="112"/>
      <c r="F50" s="116"/>
      <c r="G50" s="112"/>
      <c r="H50" s="203">
        <v>0</v>
      </c>
      <c r="I50" s="203">
        <v>0</v>
      </c>
      <c r="J50" s="203">
        <v>0</v>
      </c>
      <c r="K50" s="203">
        <v>0</v>
      </c>
      <c r="L50" s="203">
        <v>0</v>
      </c>
      <c r="M50" s="203">
        <v>0</v>
      </c>
      <c r="N50" s="203">
        <v>0</v>
      </c>
      <c r="O50" s="599"/>
    </row>
    <row r="51" spans="2:29" ht="12.75" customHeight="1" x14ac:dyDescent="0.3">
      <c r="B51" s="61"/>
      <c r="C51" s="110"/>
      <c r="D51" s="1030"/>
      <c r="E51" s="112"/>
      <c r="F51" s="116"/>
      <c r="G51" s="112"/>
      <c r="H51" s="203">
        <v>0</v>
      </c>
      <c r="I51" s="203">
        <v>0</v>
      </c>
      <c r="J51" s="203">
        <v>0</v>
      </c>
      <c r="K51" s="203">
        <v>0</v>
      </c>
      <c r="L51" s="203">
        <v>0</v>
      </c>
      <c r="M51" s="203">
        <v>0</v>
      </c>
      <c r="N51" s="203">
        <v>0</v>
      </c>
      <c r="O51" s="599"/>
      <c r="Q51" s="14"/>
      <c r="S51" s="14"/>
      <c r="T51" s="14"/>
      <c r="U51" s="14"/>
      <c r="V51" s="14"/>
      <c r="W51" s="14"/>
      <c r="X51" s="14"/>
      <c r="Y51" s="14"/>
      <c r="Z51" s="14"/>
      <c r="AA51" s="14"/>
      <c r="AB51" s="14"/>
      <c r="AC51" s="14"/>
    </row>
    <row r="52" spans="2:29" ht="12.75" customHeight="1" x14ac:dyDescent="0.3">
      <c r="B52" s="61"/>
      <c r="C52" s="110"/>
      <c r="D52" s="1030"/>
      <c r="E52" s="112"/>
      <c r="F52" s="116"/>
      <c r="G52" s="112"/>
      <c r="H52" s="203">
        <v>0</v>
      </c>
      <c r="I52" s="203">
        <v>0</v>
      </c>
      <c r="J52" s="203">
        <v>0</v>
      </c>
      <c r="K52" s="203">
        <v>0</v>
      </c>
      <c r="L52" s="203">
        <v>0</v>
      </c>
      <c r="M52" s="203">
        <v>0</v>
      </c>
      <c r="N52" s="203">
        <v>0</v>
      </c>
      <c r="O52" s="599"/>
    </row>
    <row r="53" spans="2:29" ht="12.75" customHeight="1" x14ac:dyDescent="0.3">
      <c r="B53" s="61"/>
      <c r="C53" s="110"/>
      <c r="D53" s="123"/>
      <c r="E53" s="118"/>
      <c r="F53" s="118"/>
      <c r="G53" s="112"/>
      <c r="H53" s="984">
        <f t="shared" ref="H53" si="21">SUM(H48:H52)</f>
        <v>0</v>
      </c>
      <c r="I53" s="984">
        <f t="shared" ref="I53:M53" si="22">SUM(I48:I52)</f>
        <v>0</v>
      </c>
      <c r="J53" s="984">
        <f t="shared" si="22"/>
        <v>0</v>
      </c>
      <c r="K53" s="984">
        <f t="shared" si="22"/>
        <v>0</v>
      </c>
      <c r="L53" s="984">
        <f t="shared" si="22"/>
        <v>0</v>
      </c>
      <c r="M53" s="984">
        <f t="shared" si="22"/>
        <v>0</v>
      </c>
      <c r="N53" s="984">
        <f t="shared" ref="N53" si="23">SUM(N48:N52)</f>
        <v>0</v>
      </c>
      <c r="O53" s="599"/>
    </row>
    <row r="54" spans="2:29" ht="12.75" customHeight="1" x14ac:dyDescent="0.3">
      <c r="B54" s="61"/>
      <c r="C54" s="110"/>
      <c r="D54" s="123"/>
      <c r="E54" s="118"/>
      <c r="F54" s="118"/>
      <c r="G54" s="112"/>
      <c r="H54" s="623"/>
      <c r="I54" s="623"/>
      <c r="J54" s="623"/>
      <c r="K54" s="623"/>
      <c r="L54" s="623"/>
      <c r="M54" s="623"/>
      <c r="N54" s="623"/>
      <c r="O54" s="599"/>
    </row>
    <row r="55" spans="2:29" ht="12.75" customHeight="1" x14ac:dyDescent="0.3">
      <c r="B55" s="61"/>
      <c r="C55" s="110"/>
      <c r="D55" s="146" t="s">
        <v>83</v>
      </c>
      <c r="E55" s="146"/>
      <c r="F55" s="146"/>
      <c r="G55" s="111"/>
      <c r="H55" s="983">
        <f t="shared" ref="H55" si="24">H46-H53</f>
        <v>0</v>
      </c>
      <c r="I55" s="983">
        <f t="shared" ref="I55:M55" si="25">I46-I53</f>
        <v>0</v>
      </c>
      <c r="J55" s="983">
        <f t="shared" si="25"/>
        <v>0</v>
      </c>
      <c r="K55" s="983">
        <f t="shared" si="25"/>
        <v>0</v>
      </c>
      <c r="L55" s="983">
        <f t="shared" si="25"/>
        <v>0</v>
      </c>
      <c r="M55" s="983">
        <f t="shared" si="25"/>
        <v>0</v>
      </c>
      <c r="N55" s="983">
        <f t="shared" ref="N55" si="26">N46-N53</f>
        <v>0</v>
      </c>
      <c r="O55" s="599"/>
    </row>
    <row r="56" spans="2:29" ht="12.75" customHeight="1" x14ac:dyDescent="0.3">
      <c r="B56" s="61"/>
      <c r="C56" s="110"/>
      <c r="D56" s="212"/>
      <c r="E56" s="118"/>
      <c r="F56" s="118"/>
      <c r="G56" s="118"/>
      <c r="H56" s="118"/>
      <c r="I56" s="118"/>
      <c r="J56" s="118"/>
      <c r="K56" s="118"/>
      <c r="L56" s="118"/>
      <c r="M56" s="118"/>
      <c r="N56" s="118"/>
      <c r="O56" s="599"/>
    </row>
    <row r="57" spans="2:29" ht="12.75" customHeight="1" x14ac:dyDescent="0.3">
      <c r="B57" s="61"/>
      <c r="C57" s="110"/>
      <c r="D57" s="212"/>
      <c r="E57" s="118"/>
      <c r="F57" s="118"/>
      <c r="G57" s="118"/>
      <c r="H57" s="118"/>
      <c r="I57" s="118"/>
      <c r="J57" s="118"/>
      <c r="K57" s="118"/>
      <c r="L57" s="118"/>
      <c r="M57" s="118"/>
      <c r="N57" s="118"/>
      <c r="O57" s="599"/>
    </row>
    <row r="58" spans="2:29" ht="12.75" customHeight="1" x14ac:dyDescent="0.3">
      <c r="B58" s="61"/>
      <c r="C58" s="110"/>
      <c r="D58" s="212" t="s">
        <v>179</v>
      </c>
      <c r="E58" s="118"/>
      <c r="F58" s="118"/>
      <c r="G58" s="118"/>
      <c r="H58" s="982">
        <f t="shared" ref="H58" si="27">H19+H24+H38-H55</f>
        <v>194136.05000000005</v>
      </c>
      <c r="I58" s="982">
        <f t="shared" ref="I58:M58" si="28">I19+I24+I38-I55</f>
        <v>178783.19460800002</v>
      </c>
      <c r="J58" s="982">
        <f t="shared" si="28"/>
        <v>183761.43000000002</v>
      </c>
      <c r="K58" s="982">
        <f t="shared" si="28"/>
        <v>183761.43000000002</v>
      </c>
      <c r="L58" s="982">
        <f t="shared" si="28"/>
        <v>183761.43000000002</v>
      </c>
      <c r="M58" s="982">
        <f t="shared" si="28"/>
        <v>183761.43000000002</v>
      </c>
      <c r="N58" s="982">
        <f t="shared" ref="N58" si="29">N19+N24+N38-N55</f>
        <v>181133.43000000002</v>
      </c>
      <c r="O58" s="599"/>
    </row>
    <row r="59" spans="2:29" ht="12.75" customHeight="1" x14ac:dyDescent="0.3">
      <c r="B59" s="61"/>
      <c r="C59" s="626"/>
      <c r="D59" s="234"/>
      <c r="E59" s="120"/>
      <c r="F59" s="120"/>
      <c r="G59" s="120"/>
      <c r="H59" s="120"/>
      <c r="I59" s="120"/>
      <c r="J59" s="120"/>
      <c r="K59" s="120"/>
      <c r="L59" s="120"/>
      <c r="M59" s="120"/>
      <c r="N59" s="120"/>
      <c r="O59" s="599"/>
    </row>
    <row r="60" spans="2:29" ht="12.75" customHeight="1" x14ac:dyDescent="0.3">
      <c r="B60" s="61"/>
      <c r="C60" s="69"/>
      <c r="D60" s="197"/>
      <c r="E60" s="69"/>
      <c r="F60" s="69"/>
      <c r="G60" s="69"/>
      <c r="H60" s="69"/>
      <c r="I60" s="69"/>
      <c r="J60" s="69"/>
      <c r="K60" s="69"/>
      <c r="L60" s="69"/>
      <c r="M60" s="69"/>
      <c r="N60" s="69"/>
      <c r="O60" s="599"/>
    </row>
    <row r="61" spans="2:29" ht="12.75" customHeight="1" x14ac:dyDescent="0.3">
      <c r="B61" s="61"/>
      <c r="C61" s="106"/>
      <c r="D61" s="757"/>
      <c r="E61" s="107"/>
      <c r="F61" s="107"/>
      <c r="G61" s="107"/>
      <c r="H61" s="107"/>
      <c r="I61" s="107"/>
      <c r="J61" s="107"/>
      <c r="K61" s="107"/>
      <c r="L61" s="107"/>
      <c r="M61" s="107"/>
      <c r="N61" s="107"/>
      <c r="O61" s="599"/>
    </row>
    <row r="62" spans="2:29" s="294" customFormat="1" ht="12.75" customHeight="1" x14ac:dyDescent="0.3">
      <c r="B62" s="345"/>
      <c r="C62" s="624"/>
      <c r="D62" s="882" t="s">
        <v>84</v>
      </c>
      <c r="E62" s="625"/>
      <c r="F62" s="625"/>
      <c r="G62" s="625"/>
      <c r="H62" s="625"/>
      <c r="I62" s="625"/>
      <c r="J62" s="625"/>
      <c r="K62" s="625"/>
      <c r="L62" s="625"/>
      <c r="M62" s="625"/>
      <c r="N62" s="625"/>
      <c r="O62" s="600"/>
      <c r="Q62" s="8"/>
      <c r="R62" s="410"/>
      <c r="S62" s="8"/>
      <c r="T62" s="8"/>
      <c r="U62" s="8"/>
      <c r="V62" s="237"/>
      <c r="W62" s="237"/>
      <c r="X62" s="237"/>
      <c r="Y62" s="237"/>
      <c r="Z62" s="237"/>
      <c r="AA62" s="8"/>
      <c r="AB62" s="8"/>
      <c r="AC62" s="8"/>
    </row>
    <row r="63" spans="2:29" ht="12.75" customHeight="1" x14ac:dyDescent="0.3">
      <c r="B63" s="61"/>
      <c r="C63" s="110"/>
      <c r="D63" s="212"/>
      <c r="E63" s="118"/>
      <c r="F63" s="118"/>
      <c r="G63" s="118"/>
      <c r="H63" s="118"/>
      <c r="I63" s="118"/>
      <c r="J63" s="118"/>
      <c r="K63" s="118"/>
      <c r="L63" s="118"/>
      <c r="M63" s="118"/>
      <c r="N63" s="118"/>
      <c r="O63" s="599"/>
    </row>
    <row r="64" spans="2:29" ht="12.75" customHeight="1" x14ac:dyDescent="0.3">
      <c r="B64" s="61"/>
      <c r="C64" s="110"/>
      <c r="D64" s="744"/>
      <c r="E64" s="118"/>
      <c r="F64" s="118"/>
      <c r="G64" s="118"/>
      <c r="H64" s="744">
        <v>0</v>
      </c>
      <c r="I64" s="744">
        <v>0</v>
      </c>
      <c r="J64" s="744">
        <v>0</v>
      </c>
      <c r="K64" s="744">
        <v>0</v>
      </c>
      <c r="L64" s="744">
        <v>0</v>
      </c>
      <c r="M64" s="744">
        <v>0</v>
      </c>
      <c r="N64" s="744">
        <v>0</v>
      </c>
      <c r="O64" s="599"/>
    </row>
    <row r="65" spans="2:29" ht="12.75" customHeight="1" x14ac:dyDescent="0.3">
      <c r="B65" s="61"/>
      <c r="C65" s="110"/>
      <c r="D65" s="744"/>
      <c r="E65" s="118"/>
      <c r="F65" s="118"/>
      <c r="G65" s="118"/>
      <c r="H65" s="744">
        <v>0</v>
      </c>
      <c r="I65" s="744">
        <v>0</v>
      </c>
      <c r="J65" s="744">
        <v>0</v>
      </c>
      <c r="K65" s="744">
        <v>0</v>
      </c>
      <c r="L65" s="744">
        <v>0</v>
      </c>
      <c r="M65" s="744">
        <v>0</v>
      </c>
      <c r="N65" s="744">
        <v>0</v>
      </c>
      <c r="O65" s="599"/>
    </row>
    <row r="66" spans="2:29" ht="12.75" customHeight="1" x14ac:dyDescent="0.3">
      <c r="B66" s="61"/>
      <c r="C66" s="110"/>
      <c r="D66" s="744"/>
      <c r="E66" s="118"/>
      <c r="F66" s="118"/>
      <c r="G66" s="118"/>
      <c r="H66" s="744">
        <v>0</v>
      </c>
      <c r="I66" s="744">
        <v>0</v>
      </c>
      <c r="J66" s="744">
        <v>0</v>
      </c>
      <c r="K66" s="744">
        <v>0</v>
      </c>
      <c r="L66" s="744">
        <v>0</v>
      </c>
      <c r="M66" s="744">
        <v>0</v>
      </c>
      <c r="N66" s="744">
        <v>0</v>
      </c>
      <c r="O66" s="599"/>
    </row>
    <row r="67" spans="2:29" ht="12.75" customHeight="1" x14ac:dyDescent="0.3">
      <c r="B67" s="61"/>
      <c r="C67" s="110"/>
      <c r="D67" s="744"/>
      <c r="E67" s="118"/>
      <c r="F67" s="118"/>
      <c r="G67" s="118"/>
      <c r="H67" s="744">
        <v>0</v>
      </c>
      <c r="I67" s="744">
        <v>0</v>
      </c>
      <c r="J67" s="744">
        <v>0</v>
      </c>
      <c r="K67" s="744">
        <v>0</v>
      </c>
      <c r="L67" s="744">
        <v>0</v>
      </c>
      <c r="M67" s="744">
        <v>0</v>
      </c>
      <c r="N67" s="744">
        <v>0</v>
      </c>
      <c r="O67" s="599"/>
    </row>
    <row r="68" spans="2:29" ht="12.75" customHeight="1" x14ac:dyDescent="0.3">
      <c r="B68" s="61"/>
      <c r="C68" s="110"/>
      <c r="D68" s="744"/>
      <c r="E68" s="118"/>
      <c r="F68" s="118"/>
      <c r="G68" s="118"/>
      <c r="H68" s="744">
        <v>0</v>
      </c>
      <c r="I68" s="744">
        <v>0</v>
      </c>
      <c r="J68" s="744">
        <v>0</v>
      </c>
      <c r="K68" s="744">
        <v>0</v>
      </c>
      <c r="L68" s="744">
        <v>0</v>
      </c>
      <c r="M68" s="744">
        <v>0</v>
      </c>
      <c r="N68" s="744">
        <v>0</v>
      </c>
      <c r="O68" s="599"/>
    </row>
    <row r="69" spans="2:29" ht="12.75" customHeight="1" x14ac:dyDescent="0.3">
      <c r="B69" s="61"/>
      <c r="C69" s="110"/>
      <c r="D69" s="622"/>
      <c r="E69" s="118"/>
      <c r="F69" s="118"/>
      <c r="G69" s="118"/>
      <c r="H69" s="118"/>
      <c r="I69" s="118"/>
      <c r="J69" s="118"/>
      <c r="K69" s="118"/>
      <c r="L69" s="118"/>
      <c r="M69" s="118"/>
      <c r="N69" s="118"/>
      <c r="O69" s="599"/>
    </row>
    <row r="70" spans="2:29" ht="12.75" customHeight="1" x14ac:dyDescent="0.3">
      <c r="B70" s="61"/>
      <c r="C70" s="110"/>
      <c r="D70" s="212" t="s">
        <v>269</v>
      </c>
      <c r="E70" s="118"/>
      <c r="F70" s="118"/>
      <c r="G70" s="118"/>
      <c r="H70" s="981">
        <f t="shared" ref="H70" si="30">SUM(H64:H68)</f>
        <v>0</v>
      </c>
      <c r="I70" s="981">
        <f t="shared" ref="I70:M70" si="31">SUM(I64:I68)</f>
        <v>0</v>
      </c>
      <c r="J70" s="981">
        <f t="shared" si="31"/>
        <v>0</v>
      </c>
      <c r="K70" s="981">
        <f t="shared" si="31"/>
        <v>0</v>
      </c>
      <c r="L70" s="981">
        <f t="shared" si="31"/>
        <v>0</v>
      </c>
      <c r="M70" s="981">
        <f t="shared" si="31"/>
        <v>0</v>
      </c>
      <c r="N70" s="981">
        <f t="shared" ref="N70" si="32">SUM(N64:N68)</f>
        <v>0</v>
      </c>
      <c r="O70" s="599"/>
    </row>
    <row r="71" spans="2:29" ht="12.75" customHeight="1" x14ac:dyDescent="0.3">
      <c r="B71" s="61"/>
      <c r="C71" s="626"/>
      <c r="D71" s="234"/>
      <c r="E71" s="120"/>
      <c r="F71" s="120"/>
      <c r="G71" s="120"/>
      <c r="H71" s="120"/>
      <c r="I71" s="120"/>
      <c r="J71" s="120"/>
      <c r="K71" s="120"/>
      <c r="L71" s="120"/>
      <c r="M71" s="120"/>
      <c r="N71" s="120"/>
      <c r="O71" s="599"/>
    </row>
    <row r="72" spans="2:29" ht="12.75" customHeight="1" x14ac:dyDescent="0.3">
      <c r="B72" s="61"/>
      <c r="C72" s="69"/>
      <c r="D72" s="197"/>
      <c r="E72" s="69"/>
      <c r="F72" s="69"/>
      <c r="G72" s="69"/>
      <c r="H72" s="69"/>
      <c r="I72" s="69"/>
      <c r="J72" s="69"/>
      <c r="K72" s="69"/>
      <c r="L72" s="69"/>
      <c r="M72" s="69"/>
      <c r="N72" s="69"/>
      <c r="O72" s="599"/>
    </row>
    <row r="73" spans="2:29" ht="12.75" customHeight="1" x14ac:dyDescent="0.3">
      <c r="B73" s="61"/>
      <c r="C73" s="106"/>
      <c r="D73" s="757"/>
      <c r="E73" s="107"/>
      <c r="F73" s="107"/>
      <c r="G73" s="107"/>
      <c r="H73" s="107"/>
      <c r="I73" s="107"/>
      <c r="J73" s="107"/>
      <c r="K73" s="107"/>
      <c r="L73" s="107"/>
      <c r="M73" s="107"/>
      <c r="N73" s="107"/>
      <c r="O73" s="599"/>
    </row>
    <row r="74" spans="2:29" s="294" customFormat="1" ht="12.75" customHeight="1" x14ac:dyDescent="0.3">
      <c r="B74" s="345"/>
      <c r="C74" s="624"/>
      <c r="D74" s="882" t="s">
        <v>242</v>
      </c>
      <c r="E74" s="625"/>
      <c r="F74" s="625"/>
      <c r="G74" s="625"/>
      <c r="H74" s="625"/>
      <c r="I74" s="625"/>
      <c r="J74" s="625"/>
      <c r="K74" s="625"/>
      <c r="L74" s="625"/>
      <c r="M74" s="625"/>
      <c r="N74" s="625"/>
      <c r="O74" s="600"/>
      <c r="Q74" s="8"/>
      <c r="R74" s="410"/>
      <c r="S74" s="8"/>
      <c r="T74" s="8"/>
      <c r="U74" s="8"/>
      <c r="V74" s="237"/>
      <c r="W74" s="237"/>
      <c r="X74" s="237"/>
      <c r="Y74" s="237"/>
      <c r="Z74" s="237"/>
      <c r="AA74" s="8"/>
      <c r="AB74" s="8"/>
      <c r="AC74" s="8"/>
    </row>
    <row r="75" spans="2:29" ht="12.75" hidden="1" customHeight="1" x14ac:dyDescent="0.3">
      <c r="B75" s="61"/>
      <c r="C75" s="110"/>
      <c r="D75" s="112"/>
      <c r="E75" s="118"/>
      <c r="F75" s="118"/>
      <c r="G75" s="118"/>
      <c r="H75" s="118"/>
      <c r="I75" s="118"/>
      <c r="J75" s="118"/>
      <c r="K75" s="118"/>
      <c r="L75" s="118"/>
      <c r="M75" s="118"/>
      <c r="N75" s="118"/>
      <c r="O75" s="599"/>
    </row>
    <row r="76" spans="2:29" ht="12.75" hidden="1" customHeight="1" x14ac:dyDescent="0.3">
      <c r="B76" s="61"/>
      <c r="C76" s="110"/>
      <c r="I76" s="8"/>
      <c r="J76" s="8"/>
      <c r="K76" s="8"/>
      <c r="L76" s="8"/>
      <c r="M76" s="8"/>
      <c r="N76" s="8"/>
      <c r="O76" s="599"/>
    </row>
    <row r="77" spans="2:29" ht="12.75" hidden="1" customHeight="1" x14ac:dyDescent="0.3">
      <c r="B77" s="61"/>
      <c r="C77" s="114"/>
      <c r="I77" s="8"/>
      <c r="J77" s="8"/>
      <c r="K77" s="8"/>
      <c r="L77" s="8"/>
      <c r="M77" s="8"/>
      <c r="N77" s="8"/>
      <c r="O77" s="599"/>
    </row>
    <row r="78" spans="2:29" ht="12.75" hidden="1" customHeight="1" x14ac:dyDescent="0.3">
      <c r="B78" s="61"/>
      <c r="C78" s="114"/>
      <c r="I78" s="8"/>
      <c r="J78" s="8"/>
      <c r="K78" s="8"/>
      <c r="L78" s="8"/>
      <c r="M78" s="8"/>
      <c r="N78" s="8"/>
      <c r="O78" s="599"/>
    </row>
    <row r="79" spans="2:29" ht="12.75" hidden="1" customHeight="1" x14ac:dyDescent="0.3">
      <c r="B79" s="61"/>
      <c r="C79" s="232"/>
      <c r="I79" s="8"/>
      <c r="J79" s="8"/>
      <c r="K79" s="8"/>
      <c r="L79" s="8"/>
      <c r="M79" s="8"/>
      <c r="N79" s="8"/>
      <c r="O79" s="599"/>
    </row>
    <row r="80" spans="2:29" ht="12.75" hidden="1" customHeight="1" x14ac:dyDescent="0.3">
      <c r="B80" s="61"/>
      <c r="C80" s="232"/>
      <c r="I80" s="8"/>
      <c r="J80" s="8"/>
      <c r="K80" s="8"/>
      <c r="L80" s="8"/>
      <c r="M80" s="8"/>
      <c r="N80" s="8"/>
      <c r="O80" s="599"/>
    </row>
    <row r="81" spans="2:29" ht="12.75" customHeight="1" x14ac:dyDescent="0.3">
      <c r="B81" s="61"/>
      <c r="C81" s="232"/>
      <c r="D81" s="118"/>
      <c r="E81" s="115"/>
      <c r="F81" s="115"/>
      <c r="G81" s="115"/>
      <c r="H81" s="115"/>
      <c r="I81" s="115"/>
      <c r="J81" s="115"/>
      <c r="K81" s="115"/>
      <c r="L81" s="115"/>
      <c r="M81" s="115"/>
      <c r="N81" s="115"/>
      <c r="O81" s="599"/>
    </row>
    <row r="82" spans="2:29" ht="12.75" customHeight="1" x14ac:dyDescent="0.3">
      <c r="B82" s="61"/>
      <c r="C82" s="110"/>
      <c r="D82" s="112" t="s">
        <v>120</v>
      </c>
      <c r="E82" s="118"/>
      <c r="F82" s="118"/>
      <c r="G82" s="118"/>
      <c r="H82" s="744">
        <v>0</v>
      </c>
      <c r="I82" s="744">
        <v>0</v>
      </c>
      <c r="J82" s="744">
        <v>0</v>
      </c>
      <c r="K82" s="744">
        <v>0</v>
      </c>
      <c r="L82" s="744">
        <v>0</v>
      </c>
      <c r="M82" s="744">
        <v>0</v>
      </c>
      <c r="N82" s="744">
        <v>0</v>
      </c>
      <c r="O82" s="599"/>
    </row>
    <row r="83" spans="2:29" ht="12.75" customHeight="1" x14ac:dyDescent="0.3">
      <c r="B83" s="61"/>
      <c r="C83" s="110"/>
      <c r="D83" s="112" t="s">
        <v>9</v>
      </c>
      <c r="E83" s="118"/>
      <c r="F83" s="118"/>
      <c r="G83" s="118"/>
      <c r="H83" s="744">
        <v>0</v>
      </c>
      <c r="I83" s="744">
        <v>0</v>
      </c>
      <c r="J83" s="744">
        <v>0</v>
      </c>
      <c r="K83" s="744">
        <v>0</v>
      </c>
      <c r="L83" s="744">
        <v>0</v>
      </c>
      <c r="M83" s="744">
        <v>0</v>
      </c>
      <c r="N83" s="744">
        <v>0</v>
      </c>
      <c r="O83" s="599"/>
    </row>
    <row r="84" spans="2:29" ht="12.75" customHeight="1" x14ac:dyDescent="0.3">
      <c r="B84" s="61"/>
      <c r="C84" s="110"/>
      <c r="D84" s="121" t="s">
        <v>335</v>
      </c>
      <c r="E84" s="118"/>
      <c r="F84" s="118"/>
      <c r="G84" s="118"/>
      <c r="H84" s="744">
        <v>0</v>
      </c>
      <c r="I84" s="744">
        <v>0</v>
      </c>
      <c r="J84" s="744">
        <v>0</v>
      </c>
      <c r="K84" s="744">
        <v>0</v>
      </c>
      <c r="L84" s="744">
        <v>0</v>
      </c>
      <c r="M84" s="744">
        <v>0</v>
      </c>
      <c r="N84" s="744">
        <v>0</v>
      </c>
      <c r="O84" s="599"/>
    </row>
    <row r="85" spans="2:29" ht="12.75" customHeight="1" x14ac:dyDescent="0.3">
      <c r="B85" s="61"/>
      <c r="C85" s="110"/>
      <c r="D85" s="774"/>
      <c r="E85" s="118"/>
      <c r="F85" s="118"/>
      <c r="G85" s="118"/>
      <c r="H85" s="744">
        <v>0</v>
      </c>
      <c r="I85" s="744">
        <v>0</v>
      </c>
      <c r="J85" s="744">
        <v>0</v>
      </c>
      <c r="K85" s="744">
        <v>0</v>
      </c>
      <c r="L85" s="744">
        <v>0</v>
      </c>
      <c r="M85" s="744">
        <v>0</v>
      </c>
      <c r="N85" s="744">
        <v>0</v>
      </c>
      <c r="O85" s="599"/>
    </row>
    <row r="86" spans="2:29" ht="12.75" customHeight="1" x14ac:dyDescent="0.3">
      <c r="B86" s="61"/>
      <c r="C86" s="110"/>
      <c r="D86" s="758"/>
      <c r="E86" s="118"/>
      <c r="F86" s="118"/>
      <c r="G86" s="118"/>
      <c r="H86" s="744">
        <v>0</v>
      </c>
      <c r="I86" s="744">
        <v>0</v>
      </c>
      <c r="J86" s="744">
        <v>0</v>
      </c>
      <c r="K86" s="744">
        <v>0</v>
      </c>
      <c r="L86" s="744">
        <v>0</v>
      </c>
      <c r="M86" s="744">
        <v>0</v>
      </c>
      <c r="N86" s="744">
        <v>0</v>
      </c>
      <c r="O86" s="599"/>
    </row>
    <row r="87" spans="2:29" ht="12.75" customHeight="1" x14ac:dyDescent="0.3">
      <c r="B87" s="61"/>
      <c r="C87" s="110"/>
      <c r="D87" s="758"/>
      <c r="E87" s="118"/>
      <c r="F87" s="118"/>
      <c r="G87" s="118"/>
      <c r="H87" s="744">
        <v>0</v>
      </c>
      <c r="I87" s="744">
        <v>0</v>
      </c>
      <c r="J87" s="744">
        <v>0</v>
      </c>
      <c r="K87" s="744">
        <v>0</v>
      </c>
      <c r="L87" s="744">
        <v>0</v>
      </c>
      <c r="M87" s="744">
        <v>0</v>
      </c>
      <c r="N87" s="744">
        <v>0</v>
      </c>
      <c r="O87" s="599"/>
    </row>
    <row r="88" spans="2:29" ht="12.75" customHeight="1" x14ac:dyDescent="0.3">
      <c r="B88" s="61"/>
      <c r="C88" s="110"/>
      <c r="D88" s="201"/>
      <c r="E88" s="118"/>
      <c r="F88" s="118"/>
      <c r="G88" s="118"/>
      <c r="H88" s="744">
        <v>0</v>
      </c>
      <c r="I88" s="744">
        <v>0</v>
      </c>
      <c r="J88" s="744">
        <v>0</v>
      </c>
      <c r="K88" s="744">
        <v>0</v>
      </c>
      <c r="L88" s="744">
        <v>0</v>
      </c>
      <c r="M88" s="744">
        <v>0</v>
      </c>
      <c r="N88" s="744">
        <v>0</v>
      </c>
      <c r="O88" s="599"/>
    </row>
    <row r="89" spans="2:29" ht="12.75" customHeight="1" x14ac:dyDescent="0.3">
      <c r="B89" s="61"/>
      <c r="C89" s="110"/>
      <c r="D89" s="112"/>
      <c r="E89" s="118"/>
      <c r="F89" s="118"/>
      <c r="G89" s="118"/>
      <c r="H89" s="118"/>
      <c r="I89" s="118"/>
      <c r="J89" s="118"/>
      <c r="K89" s="118"/>
      <c r="L89" s="118"/>
      <c r="M89" s="118"/>
      <c r="N89" s="118"/>
      <c r="O89" s="599"/>
    </row>
    <row r="90" spans="2:29" ht="12.75" customHeight="1" x14ac:dyDescent="0.3">
      <c r="B90" s="61"/>
      <c r="C90" s="110"/>
      <c r="D90" s="212" t="s">
        <v>269</v>
      </c>
      <c r="E90" s="118"/>
      <c r="F90" s="118"/>
      <c r="G90" s="118"/>
      <c r="H90" s="981">
        <f t="shared" ref="H90" si="33">SUM(H82:H88)</f>
        <v>0</v>
      </c>
      <c r="I90" s="981">
        <f t="shared" ref="I90:M90" si="34">SUM(I82:I88)</f>
        <v>0</v>
      </c>
      <c r="J90" s="981">
        <f t="shared" si="34"/>
        <v>0</v>
      </c>
      <c r="K90" s="981">
        <f t="shared" si="34"/>
        <v>0</v>
      </c>
      <c r="L90" s="981">
        <f t="shared" si="34"/>
        <v>0</v>
      </c>
      <c r="M90" s="981">
        <f t="shared" si="34"/>
        <v>0</v>
      </c>
      <c r="N90" s="981">
        <f t="shared" ref="N90" si="35">SUM(N82:N88)</f>
        <v>0</v>
      </c>
      <c r="O90" s="599"/>
    </row>
    <row r="91" spans="2:29" ht="12.75" customHeight="1" x14ac:dyDescent="0.3">
      <c r="B91" s="61"/>
      <c r="C91" s="626"/>
      <c r="D91" s="234"/>
      <c r="E91" s="120"/>
      <c r="F91" s="120"/>
      <c r="G91" s="120"/>
      <c r="H91" s="120"/>
      <c r="I91" s="120"/>
      <c r="J91" s="120"/>
      <c r="K91" s="120"/>
      <c r="L91" s="120"/>
      <c r="M91" s="120"/>
      <c r="N91" s="120"/>
      <c r="O91" s="599"/>
    </row>
    <row r="92" spans="2:29" ht="12.75" customHeight="1" x14ac:dyDescent="0.3">
      <c r="B92" s="61"/>
      <c r="C92" s="69"/>
      <c r="D92" s="197"/>
      <c r="E92" s="69"/>
      <c r="F92" s="69"/>
      <c r="G92" s="69"/>
      <c r="H92" s="69"/>
      <c r="I92" s="69"/>
      <c r="J92" s="69"/>
      <c r="K92" s="69"/>
      <c r="L92" s="69"/>
      <c r="M92" s="69"/>
      <c r="N92" s="69"/>
      <c r="O92" s="599"/>
    </row>
    <row r="93" spans="2:29" ht="12.75" customHeight="1" x14ac:dyDescent="0.3">
      <c r="B93" s="61"/>
      <c r="C93" s="106"/>
      <c r="D93" s="757"/>
      <c r="E93" s="107"/>
      <c r="F93" s="107"/>
      <c r="G93" s="107"/>
      <c r="H93" s="107"/>
      <c r="I93" s="107"/>
      <c r="J93" s="107"/>
      <c r="K93" s="107"/>
      <c r="L93" s="107"/>
      <c r="M93" s="107"/>
      <c r="N93" s="107"/>
      <c r="O93" s="599"/>
    </row>
    <row r="94" spans="2:29" s="11" customFormat="1" ht="12.75" customHeight="1" x14ac:dyDescent="0.3">
      <c r="B94" s="89"/>
      <c r="C94" s="110"/>
      <c r="D94" s="212" t="s">
        <v>121</v>
      </c>
      <c r="E94" s="118"/>
      <c r="F94" s="118"/>
      <c r="G94" s="118"/>
      <c r="H94" s="981">
        <f t="shared" ref="H94" si="36">H58+H70+H90</f>
        <v>194136.05000000005</v>
      </c>
      <c r="I94" s="981">
        <f t="shared" ref="I94:M94" si="37">I58+I70+I90</f>
        <v>178783.19460800002</v>
      </c>
      <c r="J94" s="981">
        <f t="shared" si="37"/>
        <v>183761.43000000002</v>
      </c>
      <c r="K94" s="981">
        <f t="shared" si="37"/>
        <v>183761.43000000002</v>
      </c>
      <c r="L94" s="981">
        <f t="shared" si="37"/>
        <v>183761.43000000002</v>
      </c>
      <c r="M94" s="981">
        <f t="shared" si="37"/>
        <v>183761.43000000002</v>
      </c>
      <c r="N94" s="981">
        <f t="shared" ref="N94" si="38">N58+N70+N90</f>
        <v>181133.43000000002</v>
      </c>
      <c r="O94" s="599"/>
      <c r="Q94" s="8"/>
      <c r="R94" s="410"/>
      <c r="S94" s="8"/>
      <c r="T94" s="8"/>
      <c r="U94" s="8"/>
      <c r="V94" s="237"/>
      <c r="W94" s="237"/>
      <c r="X94" s="237"/>
      <c r="Y94" s="237"/>
      <c r="Z94" s="237"/>
      <c r="AA94" s="8"/>
      <c r="AB94" s="8"/>
      <c r="AC94" s="8"/>
    </row>
    <row r="95" spans="2:29" ht="12.75" customHeight="1" x14ac:dyDescent="0.3">
      <c r="B95" s="61"/>
      <c r="C95" s="626"/>
      <c r="D95" s="120"/>
      <c r="E95" s="120"/>
      <c r="F95" s="120"/>
      <c r="G95" s="120"/>
      <c r="H95" s="120"/>
      <c r="I95" s="120"/>
      <c r="J95" s="120"/>
      <c r="K95" s="120"/>
      <c r="L95" s="120"/>
      <c r="M95" s="120"/>
      <c r="N95" s="120"/>
      <c r="O95" s="599"/>
    </row>
    <row r="96" spans="2:29" ht="12.75" customHeight="1" x14ac:dyDescent="0.3">
      <c r="B96" s="61"/>
      <c r="C96" s="62"/>
      <c r="D96" s="601"/>
      <c r="E96" s="69"/>
      <c r="F96" s="69"/>
      <c r="G96" s="69"/>
      <c r="H96" s="69"/>
      <c r="I96" s="69"/>
      <c r="J96" s="69"/>
      <c r="K96" s="69"/>
      <c r="L96" s="69"/>
      <c r="M96" s="69"/>
      <c r="N96" s="69"/>
      <c r="O96" s="599"/>
    </row>
    <row r="97" spans="2:29" ht="12.75" customHeight="1" x14ac:dyDescent="0.3">
      <c r="B97" s="61"/>
      <c r="C97" s="62"/>
      <c r="D97" s="601"/>
      <c r="E97" s="69"/>
      <c r="F97" s="69"/>
      <c r="G97" s="69"/>
      <c r="H97" s="69"/>
      <c r="I97" s="69"/>
      <c r="J97" s="69"/>
      <c r="K97" s="69"/>
      <c r="L97" s="69"/>
      <c r="M97" s="69"/>
      <c r="N97" s="69"/>
      <c r="O97" s="599"/>
    </row>
    <row r="98" spans="2:29" s="14" customFormat="1" ht="12.75" customHeight="1" x14ac:dyDescent="0.3">
      <c r="B98" s="602"/>
      <c r="C98" s="603"/>
      <c r="D98" s="81"/>
      <c r="E98" s="81"/>
      <c r="F98" s="81"/>
      <c r="G98" s="81"/>
      <c r="H98" s="81"/>
      <c r="I98" s="81"/>
      <c r="J98" s="81"/>
      <c r="K98" s="81"/>
      <c r="L98" s="81"/>
      <c r="M98" s="81"/>
      <c r="N98" s="81"/>
      <c r="O98" s="604"/>
      <c r="Q98" s="8"/>
      <c r="R98" s="410"/>
      <c r="S98" s="8"/>
      <c r="T98" s="8"/>
      <c r="U98" s="8"/>
      <c r="V98" s="237"/>
      <c r="W98" s="237"/>
      <c r="X98" s="237"/>
      <c r="Y98" s="237"/>
      <c r="Z98" s="237"/>
      <c r="AA98" s="8"/>
      <c r="AB98" s="8"/>
      <c r="AC98" s="8"/>
    </row>
    <row r="99" spans="2:29" ht="12.75" customHeight="1" x14ac:dyDescent="0.3">
      <c r="B99" s="605"/>
      <c r="C99" s="606"/>
      <c r="D99" s="606"/>
      <c r="E99" s="606"/>
      <c r="F99" s="606"/>
      <c r="G99" s="606"/>
      <c r="H99" s="606"/>
      <c r="I99" s="606"/>
      <c r="J99" s="606"/>
      <c r="K99" s="606"/>
      <c r="L99" s="606"/>
      <c r="M99" s="606"/>
      <c r="N99" s="606"/>
      <c r="O99" s="607"/>
    </row>
    <row r="100" spans="2:29" x14ac:dyDescent="0.3">
      <c r="B100" s="72"/>
      <c r="C100" s="73"/>
      <c r="D100" s="73"/>
      <c r="E100" s="73"/>
      <c r="F100" s="73"/>
      <c r="G100" s="73"/>
      <c r="H100" s="876"/>
      <c r="I100" s="876"/>
      <c r="J100" s="876"/>
      <c r="K100" s="876"/>
      <c r="L100" s="876"/>
      <c r="M100" s="876"/>
      <c r="N100" s="876"/>
      <c r="O100" s="76"/>
    </row>
    <row r="101" spans="2:29" ht="12.75" customHeight="1" x14ac:dyDescent="0.3">
      <c r="B101" s="72"/>
      <c r="C101" s="73"/>
      <c r="D101" s="433"/>
      <c r="E101" s="594"/>
      <c r="F101" s="594"/>
      <c r="G101" s="594"/>
      <c r="H101" s="967">
        <f>H8</f>
        <v>2020</v>
      </c>
      <c r="I101" s="967">
        <f t="shared" ref="I101:M101" si="39">I8</f>
        <v>2021</v>
      </c>
      <c r="J101" s="967">
        <f t="shared" si="39"/>
        <v>2022</v>
      </c>
      <c r="K101" s="967">
        <f t="shared" si="39"/>
        <v>2023</v>
      </c>
      <c r="L101" s="967">
        <f t="shared" si="39"/>
        <v>2024</v>
      </c>
      <c r="M101" s="967">
        <f t="shared" si="39"/>
        <v>2025</v>
      </c>
      <c r="N101" s="967">
        <f t="shared" ref="N101" si="40">N8</f>
        <v>2026</v>
      </c>
      <c r="O101" s="76"/>
    </row>
    <row r="102" spans="2:29" ht="12.75" customHeight="1" x14ac:dyDescent="0.3">
      <c r="B102" s="72"/>
      <c r="C102" s="73"/>
      <c r="D102" s="74"/>
      <c r="E102" s="465"/>
      <c r="F102" s="465"/>
      <c r="G102" s="465"/>
      <c r="H102" s="970"/>
      <c r="I102" s="970"/>
      <c r="J102" s="970"/>
      <c r="K102" s="970"/>
      <c r="L102" s="970"/>
      <c r="M102" s="970"/>
      <c r="N102" s="970"/>
      <c r="O102" s="608"/>
    </row>
    <row r="103" spans="2:29" ht="12.75" customHeight="1" x14ac:dyDescent="0.3">
      <c r="B103" s="61"/>
      <c r="C103" s="163"/>
      <c r="D103" s="627"/>
      <c r="E103" s="628"/>
      <c r="F103" s="628"/>
      <c r="G103" s="628"/>
      <c r="H103" s="971"/>
      <c r="I103" s="971"/>
      <c r="J103" s="971"/>
      <c r="K103" s="971"/>
      <c r="L103" s="971"/>
      <c r="M103" s="971"/>
      <c r="N103" s="971"/>
      <c r="O103" s="609"/>
    </row>
    <row r="104" spans="2:29" ht="12.75" customHeight="1" x14ac:dyDescent="0.3">
      <c r="B104" s="61"/>
      <c r="C104" s="114"/>
      <c r="D104" s="969" t="s">
        <v>244</v>
      </c>
      <c r="E104" s="112"/>
      <c r="F104" s="881" t="s">
        <v>327</v>
      </c>
      <c r="G104" s="112"/>
      <c r="H104" s="972"/>
      <c r="I104" s="972"/>
      <c r="J104" s="972"/>
      <c r="K104" s="972"/>
      <c r="L104" s="972"/>
      <c r="M104" s="972"/>
      <c r="N104" s="972"/>
      <c r="O104" s="610"/>
    </row>
    <row r="105" spans="2:29" ht="12.75" customHeight="1" x14ac:dyDescent="0.3">
      <c r="B105" s="61"/>
      <c r="C105" s="114"/>
      <c r="D105" s="112"/>
      <c r="E105" s="112"/>
      <c r="F105" s="112"/>
      <c r="G105" s="112"/>
      <c r="H105" s="629"/>
      <c r="I105" s="629"/>
      <c r="J105" s="629"/>
      <c r="K105" s="629"/>
      <c r="L105" s="629"/>
      <c r="M105" s="629"/>
      <c r="N105" s="629"/>
      <c r="O105" s="610"/>
    </row>
    <row r="106" spans="2:29" ht="12.75" customHeight="1" x14ac:dyDescent="0.3">
      <c r="B106" s="61"/>
      <c r="C106" s="114"/>
      <c r="D106" s="115" t="s">
        <v>231</v>
      </c>
      <c r="E106" s="112"/>
      <c r="F106" s="747"/>
      <c r="G106" s="112"/>
      <c r="H106" s="922">
        <f>act!F34</f>
        <v>0</v>
      </c>
      <c r="I106" s="922">
        <f>act!G34</f>
        <v>0</v>
      </c>
      <c r="J106" s="922">
        <f>act!H34</f>
        <v>0</v>
      </c>
      <c r="K106" s="922">
        <f>act!I34</f>
        <v>0</v>
      </c>
      <c r="L106" s="922">
        <f>act!J34</f>
        <v>0</v>
      </c>
      <c r="M106" s="922">
        <f>act!K34</f>
        <v>0</v>
      </c>
      <c r="N106" s="922">
        <f>act!M34</f>
        <v>0</v>
      </c>
      <c r="O106" s="610"/>
    </row>
    <row r="107" spans="2:29" ht="12.75" customHeight="1" x14ac:dyDescent="0.3">
      <c r="B107" s="61"/>
      <c r="C107" s="114"/>
      <c r="D107" s="115" t="s">
        <v>232</v>
      </c>
      <c r="E107" s="112"/>
      <c r="F107" s="747"/>
      <c r="G107" s="112"/>
      <c r="H107" s="922">
        <f>act!F35</f>
        <v>0</v>
      </c>
      <c r="I107" s="922">
        <f>act!G35</f>
        <v>0</v>
      </c>
      <c r="J107" s="922">
        <f>act!H35</f>
        <v>0</v>
      </c>
      <c r="K107" s="922">
        <f>act!I35</f>
        <v>0</v>
      </c>
      <c r="L107" s="922">
        <f>act!J35</f>
        <v>0</v>
      </c>
      <c r="M107" s="922">
        <f>act!K35</f>
        <v>0</v>
      </c>
      <c r="N107" s="922">
        <f>act!M35</f>
        <v>0</v>
      </c>
      <c r="O107" s="610"/>
    </row>
    <row r="108" spans="2:29" ht="12.75" customHeight="1" x14ac:dyDescent="0.3">
      <c r="B108" s="61"/>
      <c r="C108" s="114"/>
      <c r="D108" s="211" t="s">
        <v>46</v>
      </c>
      <c r="E108" s="112"/>
      <c r="F108" s="747"/>
      <c r="G108" s="112"/>
      <c r="H108" s="922">
        <f>act!F36</f>
        <v>0</v>
      </c>
      <c r="I108" s="922">
        <f>act!G36</f>
        <v>0</v>
      </c>
      <c r="J108" s="922">
        <f>act!H36</f>
        <v>0</v>
      </c>
      <c r="K108" s="922">
        <f>act!I36</f>
        <v>0</v>
      </c>
      <c r="L108" s="922">
        <f>act!J36</f>
        <v>0</v>
      </c>
      <c r="M108" s="922">
        <f>act!K36</f>
        <v>0</v>
      </c>
      <c r="N108" s="922">
        <f>act!M36</f>
        <v>0</v>
      </c>
      <c r="O108" s="610"/>
    </row>
    <row r="109" spans="2:29" ht="12.75" customHeight="1" x14ac:dyDescent="0.3">
      <c r="B109" s="61"/>
      <c r="C109" s="114"/>
      <c r="D109" s="211" t="s">
        <v>47</v>
      </c>
      <c r="E109" s="112"/>
      <c r="F109" s="747"/>
      <c r="G109" s="112"/>
      <c r="H109" s="922">
        <f>act!F37</f>
        <v>43750</v>
      </c>
      <c r="I109" s="922">
        <f>act!G37</f>
        <v>43750</v>
      </c>
      <c r="J109" s="922">
        <f>act!H37</f>
        <v>43750</v>
      </c>
      <c r="K109" s="922">
        <f>act!I37</f>
        <v>87500</v>
      </c>
      <c r="L109" s="922">
        <f>act!J37</f>
        <v>43750</v>
      </c>
      <c r="M109" s="922">
        <f>act!K37</f>
        <v>43750</v>
      </c>
      <c r="N109" s="922">
        <f>act!M37</f>
        <v>0</v>
      </c>
      <c r="O109" s="610"/>
    </row>
    <row r="110" spans="2:29" ht="12.75" customHeight="1" x14ac:dyDescent="0.3">
      <c r="B110" s="61"/>
      <c r="C110" s="114"/>
      <c r="D110" s="115" t="s">
        <v>262</v>
      </c>
      <c r="E110" s="112"/>
      <c r="F110" s="747"/>
      <c r="G110" s="112"/>
      <c r="H110" s="922">
        <f>act!F38</f>
        <v>0</v>
      </c>
      <c r="I110" s="922">
        <f>act!G38</f>
        <v>0</v>
      </c>
      <c r="J110" s="922">
        <f>act!H38</f>
        <v>0</v>
      </c>
      <c r="K110" s="922">
        <f>act!I38</f>
        <v>0</v>
      </c>
      <c r="L110" s="922">
        <f>act!J38</f>
        <v>0</v>
      </c>
      <c r="M110" s="922">
        <f>act!K38</f>
        <v>0</v>
      </c>
      <c r="N110" s="922">
        <f>act!M38</f>
        <v>0</v>
      </c>
      <c r="O110" s="610"/>
    </row>
    <row r="111" spans="2:29" ht="12.75" customHeight="1" x14ac:dyDescent="0.3">
      <c r="B111" s="61"/>
      <c r="C111" s="114"/>
      <c r="D111" s="115" t="s">
        <v>233</v>
      </c>
      <c r="E111" s="112"/>
      <c r="F111" s="747"/>
      <c r="G111" s="112"/>
      <c r="H111" s="922">
        <f>act!F39</f>
        <v>0</v>
      </c>
      <c r="I111" s="922">
        <f>act!G39</f>
        <v>0</v>
      </c>
      <c r="J111" s="922">
        <f>act!H39</f>
        <v>0</v>
      </c>
      <c r="K111" s="922">
        <f>act!I39</f>
        <v>0</v>
      </c>
      <c r="L111" s="922">
        <f>act!J39</f>
        <v>0</v>
      </c>
      <c r="M111" s="922">
        <f>act!K39</f>
        <v>0</v>
      </c>
      <c r="N111" s="922">
        <f>act!M39</f>
        <v>0</v>
      </c>
      <c r="O111" s="610"/>
    </row>
    <row r="112" spans="2:29" ht="12.75" customHeight="1" x14ac:dyDescent="0.3">
      <c r="B112" s="61"/>
      <c r="C112" s="114"/>
      <c r="D112" s="112"/>
      <c r="E112" s="112"/>
      <c r="F112" s="630"/>
      <c r="G112" s="112"/>
      <c r="H112" s="629"/>
      <c r="I112" s="629"/>
      <c r="J112" s="629"/>
      <c r="K112" s="629"/>
      <c r="L112" s="629"/>
      <c r="M112" s="629"/>
      <c r="N112" s="629"/>
      <c r="O112" s="610"/>
    </row>
    <row r="113" spans="2:15" ht="12.75" customHeight="1" x14ac:dyDescent="0.3">
      <c r="B113" s="61"/>
      <c r="C113" s="114"/>
      <c r="D113" s="631" t="s">
        <v>269</v>
      </c>
      <c r="E113" s="112"/>
      <c r="F113" s="630"/>
      <c r="G113" s="112"/>
      <c r="H113" s="980">
        <f t="shared" ref="H113" si="41">SUM(H106:H111)</f>
        <v>43750</v>
      </c>
      <c r="I113" s="980">
        <f t="shared" ref="I113:M113" si="42">SUM(I106:I111)</f>
        <v>43750</v>
      </c>
      <c r="J113" s="980">
        <f t="shared" si="42"/>
        <v>43750</v>
      </c>
      <c r="K113" s="980">
        <f t="shared" si="42"/>
        <v>87500</v>
      </c>
      <c r="L113" s="980">
        <f t="shared" si="42"/>
        <v>43750</v>
      </c>
      <c r="M113" s="980">
        <f t="shared" si="42"/>
        <v>43750</v>
      </c>
      <c r="N113" s="980">
        <f t="shared" ref="N113" si="43">SUM(N106:N111)</f>
        <v>0</v>
      </c>
      <c r="O113" s="611"/>
    </row>
    <row r="114" spans="2:15" ht="12.75" customHeight="1" x14ac:dyDescent="0.3">
      <c r="B114" s="61"/>
      <c r="C114" s="169"/>
      <c r="D114" s="752"/>
      <c r="E114" s="753"/>
      <c r="F114" s="754"/>
      <c r="G114" s="753"/>
      <c r="H114" s="755"/>
      <c r="I114" s="755"/>
      <c r="J114" s="755"/>
      <c r="K114" s="755"/>
      <c r="L114" s="755"/>
      <c r="M114" s="755"/>
      <c r="N114" s="755"/>
      <c r="O114" s="609"/>
    </row>
    <row r="115" spans="2:15" ht="12.75" customHeight="1" x14ac:dyDescent="0.3">
      <c r="B115" s="72"/>
      <c r="C115" s="73"/>
      <c r="D115" s="74"/>
      <c r="E115" s="465"/>
      <c r="F115" s="756"/>
      <c r="G115" s="465"/>
      <c r="H115" s="465"/>
      <c r="I115" s="465"/>
      <c r="J115" s="465"/>
      <c r="K115" s="465"/>
      <c r="L115" s="465"/>
      <c r="M115" s="465"/>
      <c r="N115" s="465"/>
      <c r="O115" s="608"/>
    </row>
    <row r="116" spans="2:15" ht="12.75" customHeight="1" x14ac:dyDescent="0.3">
      <c r="B116" s="61"/>
      <c r="C116" s="163"/>
      <c r="D116" s="108"/>
      <c r="E116" s="108"/>
      <c r="F116" s="750"/>
      <c r="G116" s="108"/>
      <c r="H116" s="108"/>
      <c r="I116" s="108"/>
      <c r="J116" s="108"/>
      <c r="K116" s="108"/>
      <c r="L116" s="108"/>
      <c r="M116" s="108"/>
      <c r="N116" s="108"/>
      <c r="O116" s="610"/>
    </row>
    <row r="117" spans="2:15" ht="12.75" customHeight="1" x14ac:dyDescent="0.3">
      <c r="B117" s="61"/>
      <c r="C117" s="114"/>
      <c r="D117" s="872" t="s">
        <v>245</v>
      </c>
      <c r="E117" s="873"/>
      <c r="F117" s="973" t="s">
        <v>327</v>
      </c>
      <c r="G117" s="112"/>
      <c r="H117" s="112"/>
      <c r="I117" s="112"/>
      <c r="J117" s="112"/>
      <c r="K117" s="112"/>
      <c r="L117" s="112"/>
      <c r="M117" s="112"/>
      <c r="N117" s="112"/>
      <c r="O117" s="612"/>
    </row>
    <row r="118" spans="2:15" ht="12.75" customHeight="1" x14ac:dyDescent="0.3">
      <c r="B118" s="61"/>
      <c r="C118" s="114"/>
      <c r="D118" s="146"/>
      <c r="E118" s="112"/>
      <c r="F118" s="630"/>
      <c r="G118" s="112"/>
      <c r="H118" s="112"/>
      <c r="I118" s="112"/>
      <c r="J118" s="112"/>
      <c r="K118" s="112"/>
      <c r="L118" s="112"/>
      <c r="M118" s="112"/>
      <c r="N118" s="112"/>
      <c r="O118" s="612"/>
    </row>
    <row r="119" spans="2:15" ht="12.75" customHeight="1" x14ac:dyDescent="0.3">
      <c r="B119" s="61"/>
      <c r="C119" s="114"/>
      <c r="D119" s="1173" t="s">
        <v>547</v>
      </c>
      <c r="E119" s="112"/>
      <c r="F119" s="747"/>
      <c r="G119" s="112"/>
      <c r="H119" s="988">
        <f>mop!F17</f>
        <v>0</v>
      </c>
      <c r="I119" s="988">
        <f>mop!G17</f>
        <v>0</v>
      </c>
      <c r="J119" s="988">
        <f>mop!H17</f>
        <v>0</v>
      </c>
      <c r="K119" s="988">
        <f>mop!I17</f>
        <v>0</v>
      </c>
      <c r="L119" s="988">
        <f>mop!J17</f>
        <v>0</v>
      </c>
      <c r="M119" s="988">
        <f>mop!K17</f>
        <v>0</v>
      </c>
      <c r="N119" s="988">
        <f>mop!L17</f>
        <v>0</v>
      </c>
      <c r="O119" s="613"/>
    </row>
    <row r="120" spans="2:15" ht="12.75" customHeight="1" x14ac:dyDescent="0.3">
      <c r="B120" s="61"/>
      <c r="C120" s="114"/>
      <c r="D120" s="745"/>
      <c r="E120" s="632"/>
      <c r="F120" s="747"/>
      <c r="G120" s="632"/>
      <c r="H120" s="744">
        <v>0</v>
      </c>
      <c r="I120" s="744">
        <v>0</v>
      </c>
      <c r="J120" s="744">
        <v>0</v>
      </c>
      <c r="K120" s="744">
        <v>0</v>
      </c>
      <c r="L120" s="744">
        <v>0</v>
      </c>
      <c r="M120" s="744">
        <v>0</v>
      </c>
      <c r="N120" s="744">
        <v>0</v>
      </c>
      <c r="O120" s="614"/>
    </row>
    <row r="121" spans="2:15" ht="12.75" customHeight="1" x14ac:dyDescent="0.3">
      <c r="B121" s="61"/>
      <c r="C121" s="114"/>
      <c r="D121" s="202"/>
      <c r="E121" s="632"/>
      <c r="F121" s="747"/>
      <c r="G121" s="632"/>
      <c r="H121" s="744">
        <v>0</v>
      </c>
      <c r="I121" s="744">
        <v>0</v>
      </c>
      <c r="J121" s="744">
        <v>0</v>
      </c>
      <c r="K121" s="744">
        <v>0</v>
      </c>
      <c r="L121" s="744">
        <v>0</v>
      </c>
      <c r="M121" s="744">
        <v>0</v>
      </c>
      <c r="N121" s="744">
        <v>0</v>
      </c>
      <c r="O121" s="614"/>
    </row>
    <row r="122" spans="2:15" ht="12.75" customHeight="1" x14ac:dyDescent="0.3">
      <c r="B122" s="61"/>
      <c r="C122" s="114"/>
      <c r="D122" s="202"/>
      <c r="E122" s="632"/>
      <c r="F122" s="747"/>
      <c r="G122" s="632"/>
      <c r="H122" s="744">
        <v>0</v>
      </c>
      <c r="I122" s="744">
        <v>0</v>
      </c>
      <c r="J122" s="744">
        <v>0</v>
      </c>
      <c r="K122" s="744">
        <v>0</v>
      </c>
      <c r="L122" s="744">
        <v>0</v>
      </c>
      <c r="M122" s="744">
        <v>0</v>
      </c>
      <c r="N122" s="744">
        <v>0</v>
      </c>
      <c r="O122" s="614"/>
    </row>
    <row r="123" spans="2:15" ht="12.75" customHeight="1" x14ac:dyDescent="0.3">
      <c r="B123" s="61"/>
      <c r="C123" s="114"/>
      <c r="D123" s="202"/>
      <c r="E123" s="632"/>
      <c r="F123" s="747"/>
      <c r="G123" s="632"/>
      <c r="H123" s="744">
        <v>0</v>
      </c>
      <c r="I123" s="744">
        <v>0</v>
      </c>
      <c r="J123" s="744">
        <v>0</v>
      </c>
      <c r="K123" s="744">
        <v>0</v>
      </c>
      <c r="L123" s="744">
        <v>0</v>
      </c>
      <c r="M123" s="744">
        <v>0</v>
      </c>
      <c r="N123" s="744">
        <v>0</v>
      </c>
      <c r="O123" s="614"/>
    </row>
    <row r="124" spans="2:15" ht="12.75" customHeight="1" x14ac:dyDescent="0.3">
      <c r="B124" s="61"/>
      <c r="C124" s="114"/>
      <c r="D124" s="202"/>
      <c r="E124" s="632"/>
      <c r="F124" s="747"/>
      <c r="G124" s="632"/>
      <c r="H124" s="744">
        <v>0</v>
      </c>
      <c r="I124" s="744">
        <v>0</v>
      </c>
      <c r="J124" s="744">
        <v>0</v>
      </c>
      <c r="K124" s="744">
        <v>0</v>
      </c>
      <c r="L124" s="744">
        <v>0</v>
      </c>
      <c r="M124" s="744">
        <v>0</v>
      </c>
      <c r="N124" s="744">
        <v>0</v>
      </c>
      <c r="O124" s="614"/>
    </row>
    <row r="125" spans="2:15" ht="12.75" customHeight="1" x14ac:dyDescent="0.3">
      <c r="B125" s="61"/>
      <c r="C125" s="114"/>
      <c r="D125" s="202"/>
      <c r="E125" s="632"/>
      <c r="F125" s="747"/>
      <c r="G125" s="632"/>
      <c r="H125" s="744">
        <v>0</v>
      </c>
      <c r="I125" s="744">
        <v>0</v>
      </c>
      <c r="J125" s="744">
        <v>0</v>
      </c>
      <c r="K125" s="744">
        <v>0</v>
      </c>
      <c r="L125" s="744">
        <v>0</v>
      </c>
      <c r="M125" s="744">
        <v>0</v>
      </c>
      <c r="N125" s="744">
        <v>0</v>
      </c>
      <c r="O125" s="614"/>
    </row>
    <row r="126" spans="2:15" ht="12.75" customHeight="1" x14ac:dyDescent="0.3">
      <c r="B126" s="61"/>
      <c r="C126" s="114"/>
      <c r="D126" s="202"/>
      <c r="E126" s="632"/>
      <c r="F126" s="747"/>
      <c r="G126" s="632"/>
      <c r="H126" s="744">
        <v>0</v>
      </c>
      <c r="I126" s="744">
        <v>0</v>
      </c>
      <c r="J126" s="744">
        <v>0</v>
      </c>
      <c r="K126" s="744">
        <v>0</v>
      </c>
      <c r="L126" s="744">
        <v>0</v>
      </c>
      <c r="M126" s="744">
        <v>0</v>
      </c>
      <c r="N126" s="744">
        <v>0</v>
      </c>
      <c r="O126" s="614"/>
    </row>
    <row r="127" spans="2:15" ht="12.75" customHeight="1" x14ac:dyDescent="0.3">
      <c r="B127" s="61"/>
      <c r="C127" s="114"/>
      <c r="D127" s="202"/>
      <c r="E127" s="632"/>
      <c r="F127" s="747"/>
      <c r="G127" s="632"/>
      <c r="H127" s="744">
        <v>0</v>
      </c>
      <c r="I127" s="744">
        <v>0</v>
      </c>
      <c r="J127" s="744">
        <v>0</v>
      </c>
      <c r="K127" s="744">
        <v>0</v>
      </c>
      <c r="L127" s="744">
        <v>0</v>
      </c>
      <c r="M127" s="744">
        <v>0</v>
      </c>
      <c r="N127" s="744">
        <v>0</v>
      </c>
      <c r="O127" s="614"/>
    </row>
    <row r="128" spans="2:15" ht="12.75" customHeight="1" x14ac:dyDescent="0.3">
      <c r="B128" s="61"/>
      <c r="C128" s="114"/>
      <c r="D128" s="202"/>
      <c r="E128" s="632"/>
      <c r="F128" s="747"/>
      <c r="G128" s="632"/>
      <c r="H128" s="744">
        <v>0</v>
      </c>
      <c r="I128" s="744">
        <v>0</v>
      </c>
      <c r="J128" s="744">
        <v>0</v>
      </c>
      <c r="K128" s="744">
        <v>0</v>
      </c>
      <c r="L128" s="744">
        <v>0</v>
      </c>
      <c r="M128" s="744">
        <v>0</v>
      </c>
      <c r="N128" s="744">
        <v>0</v>
      </c>
      <c r="O128" s="614"/>
    </row>
    <row r="129" spans="2:29" ht="12.75" customHeight="1" x14ac:dyDescent="0.3">
      <c r="B129" s="61"/>
      <c r="C129" s="114"/>
      <c r="D129" s="112"/>
      <c r="E129" s="112"/>
      <c r="F129" s="630"/>
      <c r="G129" s="112"/>
      <c r="H129" s="112"/>
      <c r="I129" s="112"/>
      <c r="J129" s="112"/>
      <c r="K129" s="112"/>
      <c r="L129" s="112"/>
      <c r="M129" s="112"/>
      <c r="N129" s="112"/>
      <c r="O129" s="614"/>
    </row>
    <row r="130" spans="2:29" s="11" customFormat="1" ht="12.75" customHeight="1" x14ac:dyDescent="0.3">
      <c r="B130" s="89"/>
      <c r="C130" s="110"/>
      <c r="D130" s="633" t="s">
        <v>269</v>
      </c>
      <c r="E130" s="118"/>
      <c r="F130" s="634"/>
      <c r="G130" s="118"/>
      <c r="H130" s="980">
        <f t="shared" ref="H130" si="44">SUM(H119:H128)</f>
        <v>0</v>
      </c>
      <c r="I130" s="980">
        <f t="shared" ref="I130:M130" si="45">SUM(I119:I128)</f>
        <v>0</v>
      </c>
      <c r="J130" s="980">
        <f t="shared" si="45"/>
        <v>0</v>
      </c>
      <c r="K130" s="980">
        <f t="shared" si="45"/>
        <v>0</v>
      </c>
      <c r="L130" s="980">
        <f t="shared" si="45"/>
        <v>0</v>
      </c>
      <c r="M130" s="980">
        <f t="shared" si="45"/>
        <v>0</v>
      </c>
      <c r="N130" s="980">
        <f t="shared" ref="N130" si="46">SUM(N119:N128)</f>
        <v>0</v>
      </c>
      <c r="O130" s="615"/>
      <c r="R130" s="409"/>
    </row>
    <row r="131" spans="2:29" ht="12.75" customHeight="1" x14ac:dyDescent="0.3">
      <c r="B131" s="61"/>
      <c r="C131" s="169"/>
      <c r="D131" s="121"/>
      <c r="E131" s="121"/>
      <c r="F131" s="748"/>
      <c r="G131" s="121"/>
      <c r="H131" s="121"/>
      <c r="I131" s="121"/>
      <c r="J131" s="121"/>
      <c r="K131" s="121"/>
      <c r="L131" s="121"/>
      <c r="M131" s="121"/>
      <c r="N131" s="121"/>
      <c r="O131" s="613"/>
    </row>
    <row r="132" spans="2:29" ht="12.75" customHeight="1" x14ac:dyDescent="0.3">
      <c r="B132" s="61"/>
      <c r="C132" s="62"/>
      <c r="D132" s="62"/>
      <c r="E132" s="62"/>
      <c r="F132" s="751"/>
      <c r="G132" s="62"/>
      <c r="H132" s="62"/>
      <c r="I132" s="62"/>
      <c r="J132" s="62"/>
      <c r="K132" s="62"/>
      <c r="L132" s="62"/>
      <c r="M132" s="62"/>
      <c r="N132" s="62"/>
      <c r="O132" s="613"/>
    </row>
    <row r="133" spans="2:29" ht="12.75" customHeight="1" x14ac:dyDescent="0.3">
      <c r="B133" s="61"/>
      <c r="C133" s="163"/>
      <c r="D133" s="749"/>
      <c r="E133" s="749"/>
      <c r="F133" s="750"/>
      <c r="G133" s="749"/>
      <c r="H133" s="749"/>
      <c r="I133" s="749"/>
      <c r="J133" s="749"/>
      <c r="K133" s="749"/>
      <c r="L133" s="749"/>
      <c r="M133" s="749"/>
      <c r="N133" s="749"/>
      <c r="O133" s="613"/>
    </row>
    <row r="134" spans="2:29" s="11" customFormat="1" ht="12.75" customHeight="1" x14ac:dyDescent="0.3">
      <c r="B134" s="89"/>
      <c r="C134" s="110"/>
      <c r="D134" s="872" t="s">
        <v>246</v>
      </c>
      <c r="E134" s="969"/>
      <c r="F134" s="973" t="s">
        <v>327</v>
      </c>
      <c r="G134" s="631"/>
      <c r="H134" s="631"/>
      <c r="I134" s="631"/>
      <c r="J134" s="631"/>
      <c r="K134" s="631"/>
      <c r="L134" s="631"/>
      <c r="M134" s="631"/>
      <c r="N134" s="631"/>
      <c r="O134" s="615"/>
      <c r="Q134" s="8"/>
      <c r="R134" s="410"/>
      <c r="S134" s="8"/>
      <c r="T134" s="8"/>
      <c r="U134" s="8"/>
      <c r="V134" s="8"/>
      <c r="W134" s="237"/>
      <c r="X134" s="237"/>
      <c r="Y134" s="237"/>
      <c r="Z134" s="237"/>
      <c r="AA134" s="237"/>
      <c r="AB134" s="8"/>
      <c r="AC134" s="8"/>
    </row>
    <row r="135" spans="2:29" s="11" customFormat="1" ht="12.75" customHeight="1" x14ac:dyDescent="0.3">
      <c r="B135" s="89"/>
      <c r="C135" s="110"/>
      <c r="D135" s="631"/>
      <c r="E135" s="631"/>
      <c r="F135" s="630"/>
      <c r="G135" s="631"/>
      <c r="H135" s="631"/>
      <c r="I135" s="631"/>
      <c r="J135" s="631"/>
      <c r="K135" s="631"/>
      <c r="L135" s="631"/>
      <c r="M135" s="631"/>
      <c r="N135" s="631"/>
      <c r="O135" s="615"/>
      <c r="Q135" s="8"/>
      <c r="R135" s="410"/>
      <c r="S135" s="8"/>
      <c r="T135" s="8"/>
      <c r="U135" s="8"/>
      <c r="V135" s="8"/>
      <c r="W135" s="237"/>
      <c r="X135" s="237"/>
      <c r="Y135" s="237"/>
      <c r="Z135" s="237"/>
      <c r="AA135" s="237"/>
      <c r="AB135" s="8"/>
      <c r="AC135" s="8"/>
    </row>
    <row r="136" spans="2:29" ht="12.75" customHeight="1" x14ac:dyDescent="0.3">
      <c r="B136" s="61"/>
      <c r="C136" s="114"/>
      <c r="D136" s="745"/>
      <c r="E136" s="632"/>
      <c r="F136" s="747"/>
      <c r="G136" s="632"/>
      <c r="H136" s="744">
        <v>0</v>
      </c>
      <c r="I136" s="744">
        <v>0</v>
      </c>
      <c r="J136" s="744">
        <v>0</v>
      </c>
      <c r="K136" s="744">
        <v>0</v>
      </c>
      <c r="L136" s="744">
        <v>0</v>
      </c>
      <c r="M136" s="744">
        <v>0</v>
      </c>
      <c r="N136" s="744">
        <v>0</v>
      </c>
      <c r="O136" s="614"/>
      <c r="V136" s="8"/>
      <c r="AA136" s="237"/>
    </row>
    <row r="137" spans="2:29" ht="12.75" customHeight="1" x14ac:dyDescent="0.3">
      <c r="B137" s="61"/>
      <c r="C137" s="114"/>
      <c r="D137" s="745"/>
      <c r="E137" s="632"/>
      <c r="F137" s="747"/>
      <c r="G137" s="632"/>
      <c r="H137" s="744">
        <v>0</v>
      </c>
      <c r="I137" s="744">
        <v>0</v>
      </c>
      <c r="J137" s="744">
        <v>0</v>
      </c>
      <c r="K137" s="744">
        <v>0</v>
      </c>
      <c r="L137" s="744">
        <v>0</v>
      </c>
      <c r="M137" s="744">
        <v>0</v>
      </c>
      <c r="N137" s="744">
        <v>0</v>
      </c>
      <c r="O137" s="614"/>
      <c r="V137" s="8"/>
      <c r="AA137" s="237"/>
    </row>
    <row r="138" spans="2:29" ht="12.75" customHeight="1" x14ac:dyDescent="0.3">
      <c r="B138" s="61"/>
      <c r="C138" s="114"/>
      <c r="D138" s="745"/>
      <c r="E138" s="632"/>
      <c r="F138" s="747"/>
      <c r="G138" s="632"/>
      <c r="H138" s="744">
        <v>0</v>
      </c>
      <c r="I138" s="744">
        <v>0</v>
      </c>
      <c r="J138" s="744">
        <v>0</v>
      </c>
      <c r="K138" s="744">
        <v>0</v>
      </c>
      <c r="L138" s="744">
        <v>0</v>
      </c>
      <c r="M138" s="744">
        <v>0</v>
      </c>
      <c r="N138" s="744">
        <v>0</v>
      </c>
      <c r="O138" s="614"/>
      <c r="V138" s="8"/>
      <c r="AA138" s="237"/>
    </row>
    <row r="139" spans="2:29" ht="12.75" customHeight="1" x14ac:dyDescent="0.3">
      <c r="B139" s="61"/>
      <c r="C139" s="114"/>
      <c r="D139" s="745"/>
      <c r="E139" s="632"/>
      <c r="F139" s="747"/>
      <c r="G139" s="632"/>
      <c r="H139" s="744">
        <v>0</v>
      </c>
      <c r="I139" s="744">
        <v>0</v>
      </c>
      <c r="J139" s="744">
        <v>0</v>
      </c>
      <c r="K139" s="744">
        <v>0</v>
      </c>
      <c r="L139" s="744">
        <v>0</v>
      </c>
      <c r="M139" s="744">
        <v>0</v>
      </c>
      <c r="N139" s="744">
        <v>0</v>
      </c>
      <c r="O139" s="614"/>
      <c r="V139" s="8"/>
      <c r="AA139" s="237"/>
    </row>
    <row r="140" spans="2:29" ht="12.75" customHeight="1" x14ac:dyDescent="0.3">
      <c r="B140" s="61"/>
      <c r="C140" s="114"/>
      <c r="D140" s="745"/>
      <c r="E140" s="632"/>
      <c r="F140" s="747"/>
      <c r="G140" s="632"/>
      <c r="H140" s="744">
        <v>0</v>
      </c>
      <c r="I140" s="744">
        <v>0</v>
      </c>
      <c r="J140" s="744">
        <v>0</v>
      </c>
      <c r="K140" s="744">
        <v>0</v>
      </c>
      <c r="L140" s="744">
        <v>0</v>
      </c>
      <c r="M140" s="744">
        <v>0</v>
      </c>
      <c r="N140" s="744">
        <v>0</v>
      </c>
      <c r="O140" s="614"/>
      <c r="V140" s="8"/>
      <c r="AA140" s="237"/>
    </row>
    <row r="141" spans="2:29" ht="12.75" customHeight="1" x14ac:dyDescent="0.3">
      <c r="B141" s="61"/>
      <c r="C141" s="114"/>
      <c r="D141" s="745"/>
      <c r="E141" s="632"/>
      <c r="F141" s="747"/>
      <c r="G141" s="632"/>
      <c r="H141" s="744">
        <v>0</v>
      </c>
      <c r="I141" s="744">
        <v>0</v>
      </c>
      <c r="J141" s="744">
        <v>0</v>
      </c>
      <c r="K141" s="744">
        <v>0</v>
      </c>
      <c r="L141" s="744">
        <v>0</v>
      </c>
      <c r="M141" s="744">
        <v>0</v>
      </c>
      <c r="N141" s="744">
        <v>0</v>
      </c>
      <c r="O141" s="614"/>
      <c r="V141" s="8"/>
      <c r="AA141" s="237"/>
    </row>
    <row r="142" spans="2:29" ht="12.75" customHeight="1" x14ac:dyDescent="0.3">
      <c r="B142" s="61"/>
      <c r="C142" s="114"/>
      <c r="D142" s="745"/>
      <c r="E142" s="632"/>
      <c r="F142" s="747"/>
      <c r="G142" s="632"/>
      <c r="H142" s="744">
        <v>0</v>
      </c>
      <c r="I142" s="744">
        <v>0</v>
      </c>
      <c r="J142" s="744">
        <v>0</v>
      </c>
      <c r="K142" s="744">
        <v>0</v>
      </c>
      <c r="L142" s="744">
        <v>0</v>
      </c>
      <c r="M142" s="744">
        <v>0</v>
      </c>
      <c r="N142" s="744">
        <v>0</v>
      </c>
      <c r="O142" s="614"/>
      <c r="V142" s="8"/>
      <c r="AA142" s="237"/>
    </row>
    <row r="143" spans="2:29" ht="12.75" customHeight="1" x14ac:dyDescent="0.3">
      <c r="B143" s="61"/>
      <c r="C143" s="114"/>
      <c r="D143" s="745"/>
      <c r="E143" s="632"/>
      <c r="F143" s="747"/>
      <c r="G143" s="632"/>
      <c r="H143" s="744">
        <v>0</v>
      </c>
      <c r="I143" s="744">
        <v>0</v>
      </c>
      <c r="J143" s="744">
        <v>0</v>
      </c>
      <c r="K143" s="744">
        <v>0</v>
      </c>
      <c r="L143" s="744">
        <v>0</v>
      </c>
      <c r="M143" s="744">
        <v>0</v>
      </c>
      <c r="N143" s="744">
        <v>0</v>
      </c>
      <c r="O143" s="614"/>
      <c r="V143" s="8"/>
      <c r="AA143" s="237"/>
    </row>
    <row r="144" spans="2:29" ht="12.75" customHeight="1" x14ac:dyDescent="0.3">
      <c r="B144" s="61"/>
      <c r="C144" s="114"/>
      <c r="D144" s="745"/>
      <c r="E144" s="632"/>
      <c r="F144" s="747"/>
      <c r="G144" s="632"/>
      <c r="H144" s="744">
        <v>0</v>
      </c>
      <c r="I144" s="744">
        <v>0</v>
      </c>
      <c r="J144" s="744">
        <v>0</v>
      </c>
      <c r="K144" s="744">
        <v>0</v>
      </c>
      <c r="L144" s="744">
        <v>0</v>
      </c>
      <c r="M144" s="744">
        <v>0</v>
      </c>
      <c r="N144" s="744">
        <v>0</v>
      </c>
      <c r="O144" s="614"/>
      <c r="V144" s="8"/>
      <c r="AA144" s="237"/>
    </row>
    <row r="145" spans="2:27" ht="12.75" customHeight="1" x14ac:dyDescent="0.3">
      <c r="B145" s="61"/>
      <c r="C145" s="114"/>
      <c r="D145" s="745"/>
      <c r="E145" s="632"/>
      <c r="F145" s="747"/>
      <c r="G145" s="632"/>
      <c r="H145" s="744">
        <v>0</v>
      </c>
      <c r="I145" s="744">
        <v>0</v>
      </c>
      <c r="J145" s="744">
        <v>0</v>
      </c>
      <c r="K145" s="744">
        <v>0</v>
      </c>
      <c r="L145" s="744">
        <v>0</v>
      </c>
      <c r="M145" s="744">
        <v>0</v>
      </c>
      <c r="N145" s="744">
        <v>0</v>
      </c>
      <c r="O145" s="614"/>
      <c r="V145" s="8"/>
      <c r="AA145" s="237"/>
    </row>
    <row r="146" spans="2:27" ht="12.75" customHeight="1" x14ac:dyDescent="0.3">
      <c r="B146" s="61"/>
      <c r="C146" s="114"/>
      <c r="D146" s="745"/>
      <c r="E146" s="632"/>
      <c r="F146" s="747"/>
      <c r="G146" s="632"/>
      <c r="H146" s="744">
        <v>0</v>
      </c>
      <c r="I146" s="744">
        <v>0</v>
      </c>
      <c r="J146" s="744">
        <v>0</v>
      </c>
      <c r="K146" s="744">
        <v>0</v>
      </c>
      <c r="L146" s="744">
        <v>0</v>
      </c>
      <c r="M146" s="744">
        <v>0</v>
      </c>
      <c r="N146" s="744">
        <v>0</v>
      </c>
      <c r="O146" s="614"/>
      <c r="V146" s="8"/>
      <c r="AA146" s="237"/>
    </row>
    <row r="147" spans="2:27" ht="12.75" customHeight="1" x14ac:dyDescent="0.3">
      <c r="B147" s="61"/>
      <c r="C147" s="114"/>
      <c r="D147" s="745"/>
      <c r="E147" s="632"/>
      <c r="F147" s="747"/>
      <c r="G147" s="632"/>
      <c r="H147" s="744">
        <v>0</v>
      </c>
      <c r="I147" s="744">
        <v>0</v>
      </c>
      <c r="J147" s="744">
        <v>0</v>
      </c>
      <c r="K147" s="744">
        <v>0</v>
      </c>
      <c r="L147" s="744">
        <v>0</v>
      </c>
      <c r="M147" s="744">
        <v>0</v>
      </c>
      <c r="N147" s="744">
        <v>0</v>
      </c>
      <c r="O147" s="614"/>
      <c r="V147" s="8"/>
      <c r="AA147" s="237"/>
    </row>
    <row r="148" spans="2:27" ht="12.75" customHeight="1" x14ac:dyDescent="0.3">
      <c r="B148" s="61"/>
      <c r="C148" s="114"/>
      <c r="D148" s="745"/>
      <c r="E148" s="632"/>
      <c r="F148" s="747"/>
      <c r="G148" s="632"/>
      <c r="H148" s="744">
        <v>0</v>
      </c>
      <c r="I148" s="744">
        <v>0</v>
      </c>
      <c r="J148" s="744">
        <v>0</v>
      </c>
      <c r="K148" s="744">
        <v>0</v>
      </c>
      <c r="L148" s="744">
        <v>0</v>
      </c>
      <c r="M148" s="744">
        <v>0</v>
      </c>
      <c r="N148" s="744">
        <v>0</v>
      </c>
      <c r="O148" s="614"/>
      <c r="V148" s="8"/>
      <c r="AA148" s="237"/>
    </row>
    <row r="149" spans="2:27" ht="12.75" customHeight="1" x14ac:dyDescent="0.3">
      <c r="B149" s="61"/>
      <c r="C149" s="114"/>
      <c r="D149" s="745"/>
      <c r="E149" s="632"/>
      <c r="F149" s="747"/>
      <c r="G149" s="632"/>
      <c r="H149" s="744">
        <v>0</v>
      </c>
      <c r="I149" s="744">
        <v>0</v>
      </c>
      <c r="J149" s="744">
        <v>0</v>
      </c>
      <c r="K149" s="744">
        <v>0</v>
      </c>
      <c r="L149" s="744">
        <v>0</v>
      </c>
      <c r="M149" s="744">
        <v>0</v>
      </c>
      <c r="N149" s="744">
        <v>0</v>
      </c>
      <c r="O149" s="614"/>
      <c r="V149" s="8"/>
      <c r="AA149" s="237"/>
    </row>
    <row r="150" spans="2:27" ht="12.75" customHeight="1" x14ac:dyDescent="0.3">
      <c r="B150" s="61"/>
      <c r="C150" s="114"/>
      <c r="D150" s="745"/>
      <c r="E150" s="632"/>
      <c r="F150" s="747"/>
      <c r="G150" s="632"/>
      <c r="H150" s="744">
        <v>0</v>
      </c>
      <c r="I150" s="744">
        <v>0</v>
      </c>
      <c r="J150" s="744">
        <v>0</v>
      </c>
      <c r="K150" s="744">
        <v>0</v>
      </c>
      <c r="L150" s="744">
        <v>0</v>
      </c>
      <c r="M150" s="744">
        <v>0</v>
      </c>
      <c r="N150" s="744">
        <v>0</v>
      </c>
      <c r="O150" s="614"/>
      <c r="V150" s="8"/>
      <c r="AA150" s="237"/>
    </row>
    <row r="151" spans="2:27" ht="12.75" customHeight="1" x14ac:dyDescent="0.3">
      <c r="B151" s="61"/>
      <c r="C151" s="114"/>
      <c r="D151" s="745"/>
      <c r="E151" s="632"/>
      <c r="F151" s="747"/>
      <c r="G151" s="632"/>
      <c r="H151" s="744">
        <v>0</v>
      </c>
      <c r="I151" s="744">
        <v>0</v>
      </c>
      <c r="J151" s="744">
        <v>0</v>
      </c>
      <c r="K151" s="744">
        <v>0</v>
      </c>
      <c r="L151" s="744">
        <v>0</v>
      </c>
      <c r="M151" s="744">
        <v>0</v>
      </c>
      <c r="N151" s="744">
        <v>0</v>
      </c>
      <c r="O151" s="614"/>
      <c r="V151" s="8"/>
      <c r="AA151" s="237"/>
    </row>
    <row r="152" spans="2:27" ht="12.75" customHeight="1" x14ac:dyDescent="0.3">
      <c r="B152" s="61"/>
      <c r="C152" s="114"/>
      <c r="D152" s="745"/>
      <c r="E152" s="632"/>
      <c r="F152" s="747"/>
      <c r="G152" s="632"/>
      <c r="H152" s="744">
        <v>0</v>
      </c>
      <c r="I152" s="744">
        <v>0</v>
      </c>
      <c r="J152" s="744">
        <v>0</v>
      </c>
      <c r="K152" s="744">
        <v>0</v>
      </c>
      <c r="L152" s="744">
        <v>0</v>
      </c>
      <c r="M152" s="744">
        <v>0</v>
      </c>
      <c r="N152" s="744">
        <v>0</v>
      </c>
      <c r="O152" s="614"/>
      <c r="V152" s="8"/>
      <c r="AA152" s="237"/>
    </row>
    <row r="153" spans="2:27" ht="12.75" customHeight="1" x14ac:dyDescent="0.3">
      <c r="B153" s="61"/>
      <c r="C153" s="114"/>
      <c r="D153" s="745"/>
      <c r="E153" s="632"/>
      <c r="F153" s="747"/>
      <c r="G153" s="632"/>
      <c r="H153" s="744">
        <v>0</v>
      </c>
      <c r="I153" s="744">
        <v>0</v>
      </c>
      <c r="J153" s="744">
        <v>0</v>
      </c>
      <c r="K153" s="744">
        <v>0</v>
      </c>
      <c r="L153" s="744">
        <v>0</v>
      </c>
      <c r="M153" s="744">
        <v>0</v>
      </c>
      <c r="N153" s="744">
        <v>0</v>
      </c>
      <c r="O153" s="614"/>
      <c r="V153" s="8"/>
      <c r="AA153" s="237"/>
    </row>
    <row r="154" spans="2:27" ht="12.75" customHeight="1" x14ac:dyDescent="0.3">
      <c r="B154" s="61"/>
      <c r="C154" s="114"/>
      <c r="D154" s="745"/>
      <c r="E154" s="632"/>
      <c r="F154" s="747"/>
      <c r="G154" s="632"/>
      <c r="H154" s="744">
        <v>0</v>
      </c>
      <c r="I154" s="744">
        <v>0</v>
      </c>
      <c r="J154" s="744">
        <v>0</v>
      </c>
      <c r="K154" s="744">
        <v>0</v>
      </c>
      <c r="L154" s="744">
        <v>0</v>
      </c>
      <c r="M154" s="744">
        <v>0</v>
      </c>
      <c r="N154" s="744">
        <v>0</v>
      </c>
      <c r="O154" s="614"/>
      <c r="V154" s="8"/>
      <c r="AA154" s="237"/>
    </row>
    <row r="155" spans="2:27" ht="12.75" customHeight="1" x14ac:dyDescent="0.3">
      <c r="B155" s="61"/>
      <c r="C155" s="114"/>
      <c r="D155" s="745"/>
      <c r="E155" s="632"/>
      <c r="F155" s="747"/>
      <c r="G155" s="632"/>
      <c r="H155" s="744">
        <v>0</v>
      </c>
      <c r="I155" s="744">
        <v>0</v>
      </c>
      <c r="J155" s="744">
        <v>0</v>
      </c>
      <c r="K155" s="744">
        <v>0</v>
      </c>
      <c r="L155" s="744">
        <v>0</v>
      </c>
      <c r="M155" s="744">
        <v>0</v>
      </c>
      <c r="N155" s="744">
        <v>0</v>
      </c>
      <c r="O155" s="614"/>
      <c r="V155" s="8"/>
      <c r="AA155" s="237"/>
    </row>
    <row r="156" spans="2:27" ht="12.75" customHeight="1" x14ac:dyDescent="0.3">
      <c r="B156" s="61"/>
      <c r="C156" s="114"/>
      <c r="D156" s="745"/>
      <c r="E156" s="632"/>
      <c r="F156" s="747"/>
      <c r="G156" s="632"/>
      <c r="H156" s="744">
        <v>0</v>
      </c>
      <c r="I156" s="744">
        <v>0</v>
      </c>
      <c r="J156" s="744">
        <v>0</v>
      </c>
      <c r="K156" s="744">
        <v>0</v>
      </c>
      <c r="L156" s="744">
        <v>0</v>
      </c>
      <c r="M156" s="744">
        <v>0</v>
      </c>
      <c r="N156" s="744">
        <v>0</v>
      </c>
      <c r="O156" s="614"/>
      <c r="V156" s="8"/>
      <c r="AA156" s="237"/>
    </row>
    <row r="157" spans="2:27" ht="12.75" customHeight="1" x14ac:dyDescent="0.3">
      <c r="B157" s="61"/>
      <c r="C157" s="114"/>
      <c r="D157" s="745"/>
      <c r="E157" s="632"/>
      <c r="F157" s="747"/>
      <c r="G157" s="632"/>
      <c r="H157" s="744">
        <v>0</v>
      </c>
      <c r="I157" s="744">
        <v>0</v>
      </c>
      <c r="J157" s="744">
        <v>0</v>
      </c>
      <c r="K157" s="744">
        <v>0</v>
      </c>
      <c r="L157" s="744">
        <v>0</v>
      </c>
      <c r="M157" s="744">
        <v>0</v>
      </c>
      <c r="N157" s="744">
        <v>0</v>
      </c>
      <c r="O157" s="614"/>
      <c r="V157" s="8"/>
      <c r="AA157" s="237"/>
    </row>
    <row r="158" spans="2:27" ht="12.75" customHeight="1" x14ac:dyDescent="0.3">
      <c r="B158" s="61"/>
      <c r="C158" s="114"/>
      <c r="D158" s="745"/>
      <c r="E158" s="632"/>
      <c r="F158" s="747"/>
      <c r="G158" s="632"/>
      <c r="H158" s="744">
        <v>0</v>
      </c>
      <c r="I158" s="744">
        <v>0</v>
      </c>
      <c r="J158" s="744">
        <v>0</v>
      </c>
      <c r="K158" s="744">
        <v>0</v>
      </c>
      <c r="L158" s="744">
        <v>0</v>
      </c>
      <c r="M158" s="744">
        <v>0</v>
      </c>
      <c r="N158" s="744">
        <v>0</v>
      </c>
      <c r="O158" s="614"/>
      <c r="V158" s="8"/>
      <c r="AA158" s="237"/>
    </row>
    <row r="159" spans="2:27" ht="12.75" customHeight="1" x14ac:dyDescent="0.3">
      <c r="B159" s="61"/>
      <c r="C159" s="114"/>
      <c r="D159" s="745"/>
      <c r="E159" s="632"/>
      <c r="F159" s="747"/>
      <c r="G159" s="632"/>
      <c r="H159" s="744">
        <v>0</v>
      </c>
      <c r="I159" s="744">
        <v>0</v>
      </c>
      <c r="J159" s="744">
        <v>0</v>
      </c>
      <c r="K159" s="744">
        <v>0</v>
      </c>
      <c r="L159" s="744">
        <v>0</v>
      </c>
      <c r="M159" s="744">
        <v>0</v>
      </c>
      <c r="N159" s="744">
        <v>0</v>
      </c>
      <c r="O159" s="614"/>
    </row>
    <row r="160" spans="2:27" ht="12.75" customHeight="1" x14ac:dyDescent="0.3">
      <c r="B160" s="61"/>
      <c r="C160" s="114"/>
      <c r="D160" s="745"/>
      <c r="E160" s="632"/>
      <c r="F160" s="747"/>
      <c r="G160" s="632"/>
      <c r="H160" s="744">
        <v>0</v>
      </c>
      <c r="I160" s="744">
        <v>0</v>
      </c>
      <c r="J160" s="744">
        <v>0</v>
      </c>
      <c r="K160" s="744">
        <v>0</v>
      </c>
      <c r="L160" s="744">
        <v>0</v>
      </c>
      <c r="M160" s="744">
        <v>0</v>
      </c>
      <c r="N160" s="744">
        <v>0</v>
      </c>
      <c r="O160" s="614"/>
    </row>
    <row r="161" spans="2:15" ht="12.75" customHeight="1" x14ac:dyDescent="0.3">
      <c r="B161" s="61"/>
      <c r="C161" s="114"/>
      <c r="D161" s="745"/>
      <c r="E161" s="632"/>
      <c r="F161" s="747"/>
      <c r="G161" s="632"/>
      <c r="H161" s="744">
        <v>0</v>
      </c>
      <c r="I161" s="744">
        <v>0</v>
      </c>
      <c r="J161" s="744">
        <v>0</v>
      </c>
      <c r="K161" s="744">
        <v>0</v>
      </c>
      <c r="L161" s="744">
        <v>0</v>
      </c>
      <c r="M161" s="744">
        <v>0</v>
      </c>
      <c r="N161" s="744">
        <v>0</v>
      </c>
      <c r="O161" s="614"/>
    </row>
    <row r="162" spans="2:15" ht="12.75" customHeight="1" x14ac:dyDescent="0.3">
      <c r="B162" s="61"/>
      <c r="C162" s="114"/>
      <c r="D162" s="745"/>
      <c r="E162" s="632"/>
      <c r="F162" s="747"/>
      <c r="G162" s="632"/>
      <c r="H162" s="744">
        <v>0</v>
      </c>
      <c r="I162" s="744">
        <v>0</v>
      </c>
      <c r="J162" s="744">
        <v>0</v>
      </c>
      <c r="K162" s="744">
        <v>0</v>
      </c>
      <c r="L162" s="744">
        <v>0</v>
      </c>
      <c r="M162" s="744">
        <v>0</v>
      </c>
      <c r="N162" s="744">
        <v>0</v>
      </c>
      <c r="O162" s="614"/>
    </row>
    <row r="163" spans="2:15" ht="12.75" customHeight="1" x14ac:dyDescent="0.3">
      <c r="B163" s="61"/>
      <c r="C163" s="114"/>
      <c r="D163" s="745"/>
      <c r="E163" s="632"/>
      <c r="F163" s="747"/>
      <c r="G163" s="632"/>
      <c r="H163" s="744">
        <v>0</v>
      </c>
      <c r="I163" s="744">
        <v>0</v>
      </c>
      <c r="J163" s="744">
        <v>0</v>
      </c>
      <c r="K163" s="744">
        <v>0</v>
      </c>
      <c r="L163" s="744">
        <v>0</v>
      </c>
      <c r="M163" s="744">
        <v>0</v>
      </c>
      <c r="N163" s="744">
        <v>0</v>
      </c>
      <c r="O163" s="614"/>
    </row>
    <row r="164" spans="2:15" ht="12.75" customHeight="1" x14ac:dyDescent="0.3">
      <c r="B164" s="61"/>
      <c r="C164" s="114"/>
      <c r="D164" s="745"/>
      <c r="E164" s="632"/>
      <c r="F164" s="747"/>
      <c r="G164" s="632"/>
      <c r="H164" s="744">
        <v>0</v>
      </c>
      <c r="I164" s="744">
        <v>0</v>
      </c>
      <c r="J164" s="744">
        <v>0</v>
      </c>
      <c r="K164" s="744">
        <v>0</v>
      </c>
      <c r="L164" s="744">
        <v>0</v>
      </c>
      <c r="M164" s="744">
        <v>0</v>
      </c>
      <c r="N164" s="744">
        <v>0</v>
      </c>
      <c r="O164" s="614"/>
    </row>
    <row r="165" spans="2:15" ht="12.75" customHeight="1" x14ac:dyDescent="0.3">
      <c r="B165" s="61"/>
      <c r="C165" s="114"/>
      <c r="D165" s="746"/>
      <c r="E165" s="632"/>
      <c r="F165" s="747"/>
      <c r="G165" s="632"/>
      <c r="H165" s="744">
        <v>0</v>
      </c>
      <c r="I165" s="744">
        <v>0</v>
      </c>
      <c r="J165" s="744">
        <v>0</v>
      </c>
      <c r="K165" s="744">
        <v>0</v>
      </c>
      <c r="L165" s="744">
        <v>0</v>
      </c>
      <c r="M165" s="744">
        <v>0</v>
      </c>
      <c r="N165" s="744">
        <v>0</v>
      </c>
      <c r="O165" s="614"/>
    </row>
    <row r="166" spans="2:15" ht="12.75" customHeight="1" x14ac:dyDescent="0.3">
      <c r="B166" s="61"/>
      <c r="C166" s="114"/>
      <c r="D166" s="746"/>
      <c r="E166" s="632"/>
      <c r="F166" s="747"/>
      <c r="G166" s="632"/>
      <c r="H166" s="744">
        <v>0</v>
      </c>
      <c r="I166" s="744">
        <v>0</v>
      </c>
      <c r="J166" s="744">
        <v>0</v>
      </c>
      <c r="K166" s="744">
        <v>0</v>
      </c>
      <c r="L166" s="744">
        <v>0</v>
      </c>
      <c r="M166" s="744">
        <v>0</v>
      </c>
      <c r="N166" s="744">
        <v>0</v>
      </c>
      <c r="O166" s="614"/>
    </row>
    <row r="167" spans="2:15" ht="12.75" customHeight="1" x14ac:dyDescent="0.3">
      <c r="B167" s="61"/>
      <c r="C167" s="114"/>
      <c r="D167" s="746"/>
      <c r="E167" s="632"/>
      <c r="F167" s="747"/>
      <c r="G167" s="632"/>
      <c r="H167" s="744">
        <v>0</v>
      </c>
      <c r="I167" s="744">
        <v>0</v>
      </c>
      <c r="J167" s="744">
        <v>0</v>
      </c>
      <c r="K167" s="744">
        <v>0</v>
      </c>
      <c r="L167" s="744">
        <v>0</v>
      </c>
      <c r="M167" s="744">
        <v>0</v>
      </c>
      <c r="N167" s="744">
        <v>0</v>
      </c>
      <c r="O167" s="614"/>
    </row>
    <row r="168" spans="2:15" ht="12.75" customHeight="1" x14ac:dyDescent="0.3">
      <c r="B168" s="61"/>
      <c r="C168" s="114"/>
      <c r="D168" s="746"/>
      <c r="E168" s="632"/>
      <c r="F168" s="747"/>
      <c r="G168" s="632"/>
      <c r="H168" s="744">
        <v>0</v>
      </c>
      <c r="I168" s="744">
        <v>0</v>
      </c>
      <c r="J168" s="744">
        <v>0</v>
      </c>
      <c r="K168" s="744">
        <v>0</v>
      </c>
      <c r="L168" s="744">
        <v>0</v>
      </c>
      <c r="M168" s="744">
        <v>0</v>
      </c>
      <c r="N168" s="744">
        <v>0</v>
      </c>
      <c r="O168" s="614"/>
    </row>
    <row r="169" spans="2:15" ht="12.75" customHeight="1" x14ac:dyDescent="0.3">
      <c r="B169" s="61"/>
      <c r="C169" s="114"/>
      <c r="D169" s="746"/>
      <c r="E169" s="632"/>
      <c r="F169" s="747"/>
      <c r="G169" s="632"/>
      <c r="H169" s="744">
        <v>0</v>
      </c>
      <c r="I169" s="744">
        <v>0</v>
      </c>
      <c r="J169" s="744">
        <v>0</v>
      </c>
      <c r="K169" s="744">
        <v>0</v>
      </c>
      <c r="L169" s="744">
        <v>0</v>
      </c>
      <c r="M169" s="744">
        <v>0</v>
      </c>
      <c r="N169" s="744">
        <v>0</v>
      </c>
      <c r="O169" s="614"/>
    </row>
    <row r="170" spans="2:15" ht="12.75" customHeight="1" x14ac:dyDescent="0.3">
      <c r="B170" s="61"/>
      <c r="C170" s="114"/>
      <c r="D170" s="746"/>
      <c r="E170" s="632"/>
      <c r="F170" s="747"/>
      <c r="G170" s="632"/>
      <c r="H170" s="744">
        <v>0</v>
      </c>
      <c r="I170" s="744">
        <v>0</v>
      </c>
      <c r="J170" s="744">
        <v>0</v>
      </c>
      <c r="K170" s="744">
        <v>0</v>
      </c>
      <c r="L170" s="744">
        <v>0</v>
      </c>
      <c r="M170" s="744">
        <v>0</v>
      </c>
      <c r="N170" s="744">
        <v>0</v>
      </c>
      <c r="O170" s="614"/>
    </row>
    <row r="171" spans="2:15" ht="12.75" customHeight="1" x14ac:dyDescent="0.3">
      <c r="B171" s="61"/>
      <c r="C171" s="114"/>
      <c r="D171" s="112"/>
      <c r="E171" s="112"/>
      <c r="F171" s="112"/>
      <c r="G171" s="112"/>
      <c r="H171" s="112"/>
      <c r="I171" s="112"/>
      <c r="J171" s="112"/>
      <c r="K171" s="112"/>
      <c r="L171" s="112"/>
      <c r="M171" s="112"/>
      <c r="N171" s="112"/>
      <c r="O171" s="614"/>
    </row>
    <row r="172" spans="2:15" ht="12.75" customHeight="1" x14ac:dyDescent="0.3">
      <c r="B172" s="61"/>
      <c r="C172" s="114"/>
      <c r="D172" s="631" t="s">
        <v>269</v>
      </c>
      <c r="E172" s="632"/>
      <c r="F172" s="632"/>
      <c r="G172" s="632"/>
      <c r="H172" s="980">
        <f t="shared" ref="H172" si="47">SUM(H136:H170)</f>
        <v>0</v>
      </c>
      <c r="I172" s="980">
        <f t="shared" ref="I172:M172" si="48">SUM(I136:I170)</f>
        <v>0</v>
      </c>
      <c r="J172" s="980">
        <f t="shared" si="48"/>
        <v>0</v>
      </c>
      <c r="K172" s="980">
        <f t="shared" si="48"/>
        <v>0</v>
      </c>
      <c r="L172" s="980">
        <f t="shared" si="48"/>
        <v>0</v>
      </c>
      <c r="M172" s="980">
        <f t="shared" si="48"/>
        <v>0</v>
      </c>
      <c r="N172" s="980">
        <f t="shared" ref="N172" si="49">SUM(N136:N170)</f>
        <v>0</v>
      </c>
      <c r="O172" s="615"/>
    </row>
    <row r="173" spans="2:15" ht="12.75" customHeight="1" x14ac:dyDescent="0.3">
      <c r="B173" s="61"/>
      <c r="C173" s="169"/>
      <c r="D173" s="739"/>
      <c r="E173" s="739"/>
      <c r="F173" s="739"/>
      <c r="G173" s="739"/>
      <c r="H173" s="740"/>
      <c r="I173" s="740"/>
      <c r="J173" s="740"/>
      <c r="K173" s="740"/>
      <c r="L173" s="740"/>
      <c r="M173" s="740"/>
      <c r="N173" s="740"/>
      <c r="O173" s="613"/>
    </row>
    <row r="174" spans="2:15" ht="12.75" customHeight="1" x14ac:dyDescent="0.3">
      <c r="B174" s="61"/>
      <c r="C174" s="62"/>
      <c r="D174" s="733"/>
      <c r="E174" s="189"/>
      <c r="F174" s="189"/>
      <c r="G174" s="189"/>
      <c r="H174" s="743"/>
      <c r="I174" s="743"/>
      <c r="J174" s="743"/>
      <c r="K174" s="743"/>
      <c r="L174" s="743"/>
      <c r="M174" s="743"/>
      <c r="N174" s="743"/>
      <c r="O174" s="609"/>
    </row>
    <row r="175" spans="2:15" ht="12.75" customHeight="1" x14ac:dyDescent="0.3">
      <c r="B175" s="61"/>
      <c r="C175" s="163"/>
      <c r="D175" s="741"/>
      <c r="E175" s="741"/>
      <c r="F175" s="741"/>
      <c r="G175" s="741"/>
      <c r="H175" s="742"/>
      <c r="I175" s="742"/>
      <c r="J175" s="742"/>
      <c r="K175" s="742"/>
      <c r="L175" s="742"/>
      <c r="M175" s="742"/>
      <c r="N175" s="742"/>
      <c r="O175" s="613"/>
    </row>
    <row r="176" spans="2:15" ht="12.75" customHeight="1" x14ac:dyDescent="0.3">
      <c r="B176" s="61"/>
      <c r="C176" s="114"/>
      <c r="D176" s="212" t="s">
        <v>97</v>
      </c>
      <c r="E176" s="118"/>
      <c r="F176" s="118"/>
      <c r="G176" s="118"/>
      <c r="H176" s="980">
        <f t="shared" ref="H176" si="50">H130+H172+H113</f>
        <v>43750</v>
      </c>
      <c r="I176" s="980">
        <f t="shared" ref="I176:M176" si="51">I130+I172+I113</f>
        <v>43750</v>
      </c>
      <c r="J176" s="980">
        <f t="shared" si="51"/>
        <v>43750</v>
      </c>
      <c r="K176" s="980">
        <f t="shared" si="51"/>
        <v>87500</v>
      </c>
      <c r="L176" s="980">
        <f t="shared" si="51"/>
        <v>43750</v>
      </c>
      <c r="M176" s="980">
        <f t="shared" si="51"/>
        <v>43750</v>
      </c>
      <c r="N176" s="980">
        <f t="shared" ref="N176" si="52">N130+N172+N113</f>
        <v>0</v>
      </c>
      <c r="O176" s="615"/>
    </row>
    <row r="177" spans="2:29" ht="12.75" customHeight="1" x14ac:dyDescent="0.3">
      <c r="B177" s="61"/>
      <c r="C177" s="114"/>
      <c r="D177" s="635"/>
      <c r="E177" s="120"/>
      <c r="F177" s="120"/>
      <c r="G177" s="120"/>
      <c r="H177" s="636"/>
      <c r="I177" s="636"/>
      <c r="J177" s="636"/>
      <c r="K177" s="636"/>
      <c r="L177" s="636"/>
      <c r="M177" s="636"/>
      <c r="N177" s="636"/>
      <c r="O177" s="615"/>
    </row>
    <row r="178" spans="2:29" ht="12.75" customHeight="1" x14ac:dyDescent="0.3">
      <c r="B178" s="61"/>
      <c r="C178" s="759"/>
      <c r="D178" s="601"/>
      <c r="E178" s="69"/>
      <c r="F178" s="69"/>
      <c r="G178" s="69"/>
      <c r="H178" s="617"/>
      <c r="I178" s="617"/>
      <c r="J178" s="617"/>
      <c r="K178" s="617"/>
      <c r="L178" s="617"/>
      <c r="M178" s="617"/>
      <c r="N178" s="617"/>
      <c r="O178" s="615"/>
    </row>
    <row r="179" spans="2:29" ht="12.75" customHeight="1" x14ac:dyDescent="0.3">
      <c r="B179" s="61"/>
      <c r="C179" s="62"/>
      <c r="D179" s="601"/>
      <c r="E179" s="69"/>
      <c r="F179" s="69"/>
      <c r="G179" s="69"/>
      <c r="H179" s="617"/>
      <c r="I179" s="617"/>
      <c r="J179" s="617"/>
      <c r="K179" s="617"/>
      <c r="L179" s="617"/>
      <c r="M179" s="617"/>
      <c r="N179" s="617"/>
      <c r="O179" s="615"/>
    </row>
    <row r="180" spans="2:29" ht="12.75" customHeight="1" x14ac:dyDescent="0.3">
      <c r="B180" s="61"/>
      <c r="C180" s="163"/>
      <c r="D180" s="737"/>
      <c r="E180" s="107"/>
      <c r="F180" s="107"/>
      <c r="G180" s="107"/>
      <c r="H180" s="738"/>
      <c r="I180" s="738"/>
      <c r="J180" s="738"/>
      <c r="K180" s="738"/>
      <c r="L180" s="738"/>
      <c r="M180" s="738"/>
      <c r="N180" s="738"/>
      <c r="O180" s="615"/>
    </row>
    <row r="181" spans="2:29" s="11" customFormat="1" ht="12.75" customHeight="1" x14ac:dyDescent="0.3">
      <c r="B181" s="89"/>
      <c r="C181" s="110"/>
      <c r="D181" s="118" t="s">
        <v>98</v>
      </c>
      <c r="E181" s="118"/>
      <c r="F181" s="118"/>
      <c r="G181" s="118"/>
      <c r="H181" s="980">
        <f t="shared" ref="H181" si="53">H94-H176</f>
        <v>150386.05000000005</v>
      </c>
      <c r="I181" s="980">
        <f t="shared" ref="I181:M181" si="54">I94-I176</f>
        <v>135033.19460800002</v>
      </c>
      <c r="J181" s="980">
        <f t="shared" si="54"/>
        <v>140011.43000000002</v>
      </c>
      <c r="K181" s="980">
        <f t="shared" si="54"/>
        <v>96261.430000000022</v>
      </c>
      <c r="L181" s="980">
        <f t="shared" si="54"/>
        <v>140011.43000000002</v>
      </c>
      <c r="M181" s="980">
        <f t="shared" si="54"/>
        <v>140011.43000000002</v>
      </c>
      <c r="N181" s="980">
        <f t="shared" ref="N181" si="55">N94-N176</f>
        <v>181133.43000000002</v>
      </c>
      <c r="O181" s="615"/>
      <c r="Q181" s="8"/>
      <c r="R181" s="410"/>
      <c r="S181" s="8"/>
      <c r="T181" s="8"/>
      <c r="U181" s="8"/>
      <c r="V181" s="237"/>
      <c r="W181" s="237"/>
      <c r="X181" s="237"/>
      <c r="Y181" s="237"/>
      <c r="Z181" s="237"/>
      <c r="AA181" s="8"/>
      <c r="AB181" s="8"/>
      <c r="AC181" s="8"/>
    </row>
    <row r="182" spans="2:29" ht="12.75" customHeight="1" x14ac:dyDescent="0.3">
      <c r="B182" s="61"/>
      <c r="C182" s="169"/>
      <c r="D182" s="635"/>
      <c r="E182" s="120"/>
      <c r="F182" s="120"/>
      <c r="G182" s="120"/>
      <c r="H182" s="636"/>
      <c r="I182" s="636"/>
      <c r="J182" s="636"/>
      <c r="K182" s="636"/>
      <c r="L182" s="636"/>
      <c r="M182" s="636"/>
      <c r="N182" s="636"/>
      <c r="O182" s="615"/>
    </row>
    <row r="183" spans="2:29" ht="12.75" customHeight="1" x14ac:dyDescent="0.3">
      <c r="B183" s="61"/>
      <c r="C183" s="62"/>
      <c r="D183" s="601"/>
      <c r="E183" s="69"/>
      <c r="F183" s="69"/>
      <c r="G183" s="69"/>
      <c r="H183" s="69"/>
      <c r="I183" s="69"/>
      <c r="J183" s="69"/>
      <c r="K183" s="69"/>
      <c r="L183" s="69"/>
      <c r="M183" s="69"/>
      <c r="N183" s="69"/>
      <c r="O183" s="615"/>
    </row>
    <row r="184" spans="2:29" ht="12.75" customHeight="1" x14ac:dyDescent="0.3">
      <c r="B184" s="80"/>
      <c r="C184" s="81"/>
      <c r="D184" s="81"/>
      <c r="E184" s="81"/>
      <c r="F184" s="81"/>
      <c r="G184" s="81"/>
      <c r="H184" s="81"/>
      <c r="I184" s="81"/>
      <c r="J184" s="81"/>
      <c r="K184" s="81"/>
      <c r="L184" s="81"/>
      <c r="M184" s="81"/>
      <c r="N184" s="81"/>
      <c r="O184" s="84"/>
    </row>
    <row r="185" spans="2:29" ht="12.75" customHeight="1" x14ac:dyDescent="0.3">
      <c r="E185" s="407"/>
      <c r="F185" s="407"/>
      <c r="G185" s="9"/>
      <c r="H185" s="9"/>
      <c r="I185" s="9"/>
      <c r="J185" s="9"/>
      <c r="K185" s="408"/>
      <c r="L185" s="408"/>
      <c r="M185" s="408"/>
      <c r="N185" s="408"/>
    </row>
    <row r="186" spans="2:29" ht="12.75" customHeight="1" x14ac:dyDescent="0.3">
      <c r="E186" s="407"/>
      <c r="F186" s="407"/>
      <c r="G186" s="9"/>
      <c r="H186" s="9"/>
      <c r="I186" s="9"/>
      <c r="J186" s="9"/>
      <c r="K186" s="408"/>
      <c r="L186" s="408"/>
      <c r="M186" s="408"/>
      <c r="N186" s="408"/>
    </row>
    <row r="187" spans="2:29" ht="12.75" customHeight="1" x14ac:dyDescent="0.3">
      <c r="E187" s="407"/>
      <c r="F187" s="407"/>
      <c r="G187" s="9"/>
      <c r="H187" s="9"/>
      <c r="I187" s="9"/>
      <c r="J187" s="9"/>
      <c r="K187" s="408"/>
      <c r="L187" s="408"/>
      <c r="M187" s="408"/>
      <c r="N187" s="408"/>
    </row>
    <row r="188" spans="2:29" ht="12.75" customHeight="1" x14ac:dyDescent="0.3">
      <c r="E188" s="407"/>
      <c r="F188" s="407"/>
      <c r="G188" s="9"/>
      <c r="H188" s="9"/>
      <c r="I188" s="9"/>
      <c r="J188" s="9"/>
      <c r="K188" s="408"/>
      <c r="L188" s="408"/>
      <c r="M188" s="408"/>
      <c r="N188" s="408"/>
    </row>
    <row r="189" spans="2:29" ht="12.75" customHeight="1" x14ac:dyDescent="0.3">
      <c r="D189" s="171"/>
      <c r="E189" s="734"/>
      <c r="F189" s="734"/>
      <c r="G189" s="172"/>
      <c r="H189" s="172"/>
      <c r="I189" s="172"/>
      <c r="J189" s="172"/>
      <c r="K189" s="735"/>
      <c r="L189" s="735"/>
      <c r="M189" s="735"/>
      <c r="N189" s="735"/>
    </row>
    <row r="190" spans="2:29" ht="12.75" customHeight="1" x14ac:dyDescent="0.3">
      <c r="D190" s="974" t="s">
        <v>180</v>
      </c>
      <c r="E190" s="975"/>
      <c r="F190" s="886"/>
      <c r="G190" s="886"/>
      <c r="H190" s="886" t="str">
        <f>tab!B2</f>
        <v>2020/21</v>
      </c>
      <c r="I190" s="886" t="str">
        <f>tab!C2</f>
        <v>2021/22</v>
      </c>
      <c r="J190" s="886" t="str">
        <f>tab!D2</f>
        <v>2022/23</v>
      </c>
      <c r="K190" s="886" t="str">
        <f>tab!E2</f>
        <v>2023/24</v>
      </c>
      <c r="L190" s="886" t="str">
        <f>tab!F2</f>
        <v>2024/25</v>
      </c>
      <c r="M190" s="886" t="str">
        <f>tab!G2</f>
        <v>2025/26</v>
      </c>
      <c r="N190" s="886" t="str">
        <f>tab!H2</f>
        <v>2026/27</v>
      </c>
      <c r="O190" s="9"/>
    </row>
    <row r="191" spans="2:29" ht="12.75" customHeight="1" x14ac:dyDescent="0.3">
      <c r="D191" s="875" t="s">
        <v>103</v>
      </c>
      <c r="E191" s="887"/>
      <c r="F191" s="950"/>
      <c r="G191" s="887"/>
      <c r="H191" s="976"/>
      <c r="I191" s="976"/>
      <c r="J191" s="976"/>
      <c r="K191" s="976"/>
      <c r="L191" s="887"/>
      <c r="M191" s="887"/>
      <c r="N191" s="887"/>
    </row>
    <row r="192" spans="2:29" ht="12.75" customHeight="1" x14ac:dyDescent="0.3">
      <c r="D192" s="956" t="s">
        <v>126</v>
      </c>
      <c r="E192" s="887"/>
      <c r="F192" s="950"/>
      <c r="G192" s="887"/>
      <c r="H192" s="976">
        <f>5/12*H58+7/12*I58</f>
        <v>185180.21768800006</v>
      </c>
      <c r="I192" s="976">
        <f t="shared" ref="I192:L192" si="56">5/12*I58+7/12*J58</f>
        <v>181687.16525333337</v>
      </c>
      <c r="J192" s="976">
        <f t="shared" si="56"/>
        <v>183761.43000000005</v>
      </c>
      <c r="K192" s="976">
        <f t="shared" si="56"/>
        <v>183761.43000000005</v>
      </c>
      <c r="L192" s="976">
        <f t="shared" si="56"/>
        <v>183761.43000000005</v>
      </c>
      <c r="M192" s="976">
        <f>5/12*M58+7/12*M58</f>
        <v>183761.43000000005</v>
      </c>
      <c r="N192" s="976">
        <f>5/12*N58+7/12*N58</f>
        <v>181133.43000000005</v>
      </c>
    </row>
    <row r="193" spans="2:14" ht="12.75" customHeight="1" x14ac:dyDescent="0.3">
      <c r="D193" s="956" t="s">
        <v>84</v>
      </c>
      <c r="E193" s="887"/>
      <c r="F193" s="950"/>
      <c r="G193" s="887"/>
      <c r="H193" s="976">
        <f>0.416666666666667*H70+0.583333333333333*I70</f>
        <v>0</v>
      </c>
      <c r="I193" s="976">
        <f t="shared" ref="I193:L193" si="57">0.416666666666667*I70+0.583333333333333*J70</f>
        <v>0</v>
      </c>
      <c r="J193" s="976">
        <f t="shared" si="57"/>
        <v>0</v>
      </c>
      <c r="K193" s="976">
        <f t="shared" si="57"/>
        <v>0</v>
      </c>
      <c r="L193" s="976">
        <f t="shared" si="57"/>
        <v>0</v>
      </c>
      <c r="M193" s="976">
        <f>0.416666666666667*M70+0.583333333333333*M70</f>
        <v>0</v>
      </c>
      <c r="N193" s="976">
        <f>0.416666666666667*N70+0.583333333333333*N70</f>
        <v>0</v>
      </c>
    </row>
    <row r="194" spans="2:14" ht="12.75" customHeight="1" x14ac:dyDescent="0.3">
      <c r="D194" s="956" t="s">
        <v>91</v>
      </c>
      <c r="E194" s="887"/>
      <c r="F194" s="950"/>
      <c r="G194" s="887"/>
      <c r="H194" s="976">
        <f>0.416666666666667*H82+0.583333333333333*I82</f>
        <v>0</v>
      </c>
      <c r="I194" s="976">
        <f t="shared" ref="I194:L194" si="58">0.416666666666667*I82+0.583333333333333*J82</f>
        <v>0</v>
      </c>
      <c r="J194" s="976">
        <f t="shared" si="58"/>
        <v>0</v>
      </c>
      <c r="K194" s="976">
        <f t="shared" si="58"/>
        <v>0</v>
      </c>
      <c r="L194" s="976">
        <f t="shared" si="58"/>
        <v>0</v>
      </c>
      <c r="M194" s="976">
        <f>0.416666666666667*M82+0.583333333333333*M82</f>
        <v>0</v>
      </c>
      <c r="N194" s="976">
        <f>0.416666666666667*N82+0.583333333333333*N82</f>
        <v>0</v>
      </c>
    </row>
    <row r="195" spans="2:14" ht="12.75" customHeight="1" x14ac:dyDescent="0.3">
      <c r="D195" s="956" t="s">
        <v>242</v>
      </c>
      <c r="E195" s="887"/>
      <c r="F195" s="950"/>
      <c r="G195" s="887"/>
      <c r="H195" s="976">
        <f>0.416666666666667*(H90-H82)+0.583333333333333*(I90-I82)</f>
        <v>0</v>
      </c>
      <c r="I195" s="976">
        <f t="shared" ref="I195:L195" si="59">0.416666666666667*(I90-I82)+0.583333333333333*(J90-J82)</f>
        <v>0</v>
      </c>
      <c r="J195" s="976">
        <f t="shared" si="59"/>
        <v>0</v>
      </c>
      <c r="K195" s="976">
        <f t="shared" si="59"/>
        <v>0</v>
      </c>
      <c r="L195" s="976">
        <f t="shared" si="59"/>
        <v>0</v>
      </c>
      <c r="M195" s="976">
        <f>0.416666666666667*(M90-M82)+0.583333333333333*(M90-M82)</f>
        <v>0</v>
      </c>
      <c r="N195" s="976">
        <f>0.416666666666667*(N90-N82)+0.583333333333333*(N90-N82)</f>
        <v>0</v>
      </c>
    </row>
    <row r="196" spans="2:14" ht="12.75" customHeight="1" x14ac:dyDescent="0.3">
      <c r="D196" s="977"/>
      <c r="E196" s="887"/>
      <c r="F196" s="950"/>
      <c r="G196" s="887"/>
      <c r="H196" s="978">
        <f t="shared" ref="H196" si="60">SUM(H192:H195)</f>
        <v>185180.21768800006</v>
      </c>
      <c r="I196" s="978">
        <f t="shared" ref="I196:M196" si="61">SUM(I192:I195)</f>
        <v>181687.16525333337</v>
      </c>
      <c r="J196" s="978">
        <f t="shared" si="61"/>
        <v>183761.43000000005</v>
      </c>
      <c r="K196" s="978">
        <f t="shared" si="61"/>
        <v>183761.43000000005</v>
      </c>
      <c r="L196" s="978">
        <f t="shared" si="61"/>
        <v>183761.43000000005</v>
      </c>
      <c r="M196" s="978">
        <f t="shared" si="61"/>
        <v>183761.43000000005</v>
      </c>
      <c r="N196" s="978">
        <f t="shared" ref="N196" si="62">SUM(N192:N195)</f>
        <v>181133.43000000005</v>
      </c>
    </row>
    <row r="197" spans="2:14" ht="12.75" customHeight="1" x14ac:dyDescent="0.3">
      <c r="B197" s="238"/>
      <c r="C197" s="238"/>
      <c r="D197" s="875" t="s">
        <v>53</v>
      </c>
      <c r="E197" s="887"/>
      <c r="F197" s="950"/>
      <c r="G197" s="887"/>
      <c r="H197" s="976"/>
      <c r="I197" s="976"/>
      <c r="J197" s="976"/>
      <c r="K197" s="976"/>
      <c r="L197" s="976"/>
      <c r="M197" s="976"/>
      <c r="N197" s="976"/>
    </row>
    <row r="198" spans="2:14" ht="12.75" customHeight="1" x14ac:dyDescent="0.3">
      <c r="D198" s="887" t="s">
        <v>244</v>
      </c>
      <c r="E198" s="887"/>
      <c r="F198" s="950"/>
      <c r="G198" s="887"/>
      <c r="H198" s="976">
        <f>0.416666666666667*H113+0.583333333333333*I113</f>
        <v>43750</v>
      </c>
      <c r="I198" s="976">
        <f t="shared" ref="I198:L198" si="63">0.416666666666667*I113+0.583333333333333*J113</f>
        <v>43750</v>
      </c>
      <c r="J198" s="976">
        <f t="shared" si="63"/>
        <v>69270.833333333328</v>
      </c>
      <c r="K198" s="976">
        <f t="shared" si="63"/>
        <v>61979.166666666686</v>
      </c>
      <c r="L198" s="976">
        <f t="shared" si="63"/>
        <v>43750</v>
      </c>
      <c r="M198" s="976">
        <f>0.416666666666667*M113+0.583333333333333*M113</f>
        <v>43750</v>
      </c>
      <c r="N198" s="976">
        <f>0.416666666666667*N113+0.583333333333333*N113</f>
        <v>0</v>
      </c>
    </row>
    <row r="199" spans="2:14" ht="12.75" customHeight="1" x14ac:dyDescent="0.3">
      <c r="D199" s="887" t="s">
        <v>245</v>
      </c>
      <c r="E199" s="887"/>
      <c r="F199" s="950"/>
      <c r="G199" s="887"/>
      <c r="H199" s="976">
        <f>0.416666666666667*H130+0.583333333333333*I130</f>
        <v>0</v>
      </c>
      <c r="I199" s="976">
        <f t="shared" ref="I199:L199" si="64">0.416666666666667*I130+0.583333333333333*J130</f>
        <v>0</v>
      </c>
      <c r="J199" s="976">
        <f t="shared" si="64"/>
        <v>0</v>
      </c>
      <c r="K199" s="976">
        <f t="shared" si="64"/>
        <v>0</v>
      </c>
      <c r="L199" s="976">
        <f t="shared" si="64"/>
        <v>0</v>
      </c>
      <c r="M199" s="976">
        <f>0.416666666666667*M130+0.583333333333333*M130</f>
        <v>0</v>
      </c>
      <c r="N199" s="976">
        <f>0.416666666666667*N130+0.583333333333333*N130</f>
        <v>0</v>
      </c>
    </row>
    <row r="200" spans="2:14" ht="12.75" customHeight="1" x14ac:dyDescent="0.3">
      <c r="D200" s="887" t="s">
        <v>134</v>
      </c>
      <c r="E200" s="887"/>
      <c r="F200" s="950"/>
      <c r="G200" s="887"/>
      <c r="H200" s="976">
        <f>0.416666666666667*H172+0.583333333333333*I172</f>
        <v>0</v>
      </c>
      <c r="I200" s="976">
        <f t="shared" ref="I200:L200" si="65">0.416666666666667*I172+0.583333333333333*J172</f>
        <v>0</v>
      </c>
      <c r="J200" s="976">
        <f t="shared" si="65"/>
        <v>0</v>
      </c>
      <c r="K200" s="976">
        <f t="shared" si="65"/>
        <v>0</v>
      </c>
      <c r="L200" s="976">
        <f t="shared" si="65"/>
        <v>0</v>
      </c>
      <c r="M200" s="976">
        <f>0.416666666666667*M172+0.583333333333333*M172</f>
        <v>0</v>
      </c>
      <c r="N200" s="976">
        <f>0.416666666666667*N172+0.583333333333333*N172</f>
        <v>0</v>
      </c>
    </row>
    <row r="201" spans="2:14" ht="12.75" customHeight="1" x14ac:dyDescent="0.3">
      <c r="D201" s="977"/>
      <c r="E201" s="887"/>
      <c r="F201" s="950"/>
      <c r="G201" s="887"/>
      <c r="H201" s="978">
        <f t="shared" ref="H201" si="66">SUM(H198:H200)</f>
        <v>43750</v>
      </c>
      <c r="I201" s="978">
        <f t="shared" ref="I201:M201" si="67">SUM(I198:I200)</f>
        <v>43750</v>
      </c>
      <c r="J201" s="978">
        <f t="shared" si="67"/>
        <v>69270.833333333328</v>
      </c>
      <c r="K201" s="978">
        <f t="shared" si="67"/>
        <v>61979.166666666686</v>
      </c>
      <c r="L201" s="978">
        <f t="shared" si="67"/>
        <v>43750</v>
      </c>
      <c r="M201" s="978">
        <f t="shared" si="67"/>
        <v>43750</v>
      </c>
      <c r="N201" s="978">
        <f t="shared" ref="N201" si="68">SUM(N198:N200)</f>
        <v>0</v>
      </c>
    </row>
    <row r="202" spans="2:14" ht="12.75" customHeight="1" x14ac:dyDescent="0.3">
      <c r="D202" s="979"/>
      <c r="E202" s="887"/>
      <c r="F202" s="950"/>
      <c r="G202" s="887"/>
      <c r="H202" s="976"/>
      <c r="I202" s="976"/>
      <c r="J202" s="976"/>
      <c r="K202" s="976"/>
      <c r="L202" s="976"/>
      <c r="M202" s="976"/>
      <c r="N202" s="976"/>
    </row>
    <row r="203" spans="2:14" ht="12.75" customHeight="1" x14ac:dyDescent="0.3">
      <c r="B203" s="11"/>
      <c r="C203" s="11"/>
      <c r="D203" s="977" t="s">
        <v>104</v>
      </c>
      <c r="E203" s="887"/>
      <c r="F203" s="950"/>
      <c r="G203" s="887"/>
      <c r="H203" s="978">
        <f t="shared" ref="H203" si="69">+H196-H201</f>
        <v>141430.21768800006</v>
      </c>
      <c r="I203" s="978">
        <f t="shared" ref="I203:M203" si="70">+I196-I201</f>
        <v>137937.16525333337</v>
      </c>
      <c r="J203" s="978">
        <f t="shared" si="70"/>
        <v>114490.59666666672</v>
      </c>
      <c r="K203" s="978">
        <f t="shared" si="70"/>
        <v>121782.26333333337</v>
      </c>
      <c r="L203" s="978">
        <f t="shared" si="70"/>
        <v>140011.43000000005</v>
      </c>
      <c r="M203" s="978">
        <f t="shared" si="70"/>
        <v>140011.43000000005</v>
      </c>
      <c r="N203" s="978">
        <f t="shared" ref="N203" si="71">+N196-N201</f>
        <v>181133.43000000005</v>
      </c>
    </row>
    <row r="204" spans="2:14" ht="12.75" customHeight="1" x14ac:dyDescent="0.3">
      <c r="D204" s="885"/>
      <c r="E204" s="887"/>
      <c r="F204" s="950"/>
      <c r="G204" s="887"/>
      <c r="H204" s="976"/>
      <c r="I204" s="976"/>
      <c r="J204" s="976"/>
      <c r="K204" s="976"/>
      <c r="L204" s="976"/>
      <c r="M204" s="976"/>
      <c r="N204" s="976"/>
    </row>
    <row r="205" spans="2:14" ht="12.75" customHeight="1" x14ac:dyDescent="0.3">
      <c r="D205" s="875" t="s">
        <v>128</v>
      </c>
      <c r="E205" s="887"/>
      <c r="F205" s="950"/>
      <c r="G205" s="887"/>
      <c r="H205" s="978">
        <f>0.416666666666667*H55+0.583333333333333*I55</f>
        <v>0</v>
      </c>
      <c r="I205" s="978">
        <f t="shared" ref="I205:L205" si="72">0.416666666666667*I55+0.583333333333333*J55</f>
        <v>0</v>
      </c>
      <c r="J205" s="978">
        <f t="shared" si="72"/>
        <v>0</v>
      </c>
      <c r="K205" s="978">
        <f t="shared" si="72"/>
        <v>0</v>
      </c>
      <c r="L205" s="978">
        <f t="shared" si="72"/>
        <v>0</v>
      </c>
      <c r="M205" s="978">
        <f>0.416666666666667*M55+0.583333333333333*M55</f>
        <v>0</v>
      </c>
      <c r="N205" s="978">
        <f>0.416666666666667*N55+0.583333333333333*N55</f>
        <v>0</v>
      </c>
    </row>
    <row r="206" spans="2:14" ht="12.75" customHeight="1" x14ac:dyDescent="0.3">
      <c r="D206" s="887"/>
      <c r="E206" s="887"/>
      <c r="F206" s="950"/>
      <c r="G206" s="887"/>
      <c r="H206" s="976"/>
      <c r="I206" s="976"/>
      <c r="J206" s="976"/>
      <c r="K206" s="976"/>
      <c r="L206" s="976"/>
      <c r="M206" s="976"/>
      <c r="N206" s="976"/>
    </row>
    <row r="207" spans="2:14" ht="12.75" customHeight="1" x14ac:dyDescent="0.3">
      <c r="D207" s="888" t="s">
        <v>475</v>
      </c>
      <c r="E207" s="887"/>
      <c r="F207" s="950"/>
      <c r="G207" s="887"/>
      <c r="H207" s="976">
        <f>5/12*(H31+H32+H38)+7/12*(I31+I32+I38)</f>
        <v>30632.587793066694</v>
      </c>
      <c r="I207" s="976">
        <f t="shared" ref="I207:L207" si="73">5/12*(I31+I32+I38)+7/12*(J31+J32+J38)</f>
        <v>42559.472366400041</v>
      </c>
      <c r="J207" s="976">
        <f t="shared" si="73"/>
        <v>52914.097366400063</v>
      </c>
      <c r="K207" s="976">
        <f t="shared" si="73"/>
        <v>52914.097366400063</v>
      </c>
      <c r="L207" s="976">
        <f t="shared" si="73"/>
        <v>52914.097366400063</v>
      </c>
      <c r="M207" s="976">
        <f>5/12*(M31+M32+M38)+7/12*(M31+M32+M38)</f>
        <v>52914.097366400063</v>
      </c>
      <c r="N207" s="976">
        <f>5/12*(N31+N32+N38)+7/12*(N31+N32+N38)</f>
        <v>52498.097366400063</v>
      </c>
    </row>
    <row r="208" spans="2:14"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row r="1135" ht="12.75" customHeight="1" x14ac:dyDescent="0.3"/>
    <row r="1136" ht="12.75" customHeight="1" x14ac:dyDescent="0.3"/>
    <row r="1137" ht="12.75" customHeight="1" x14ac:dyDescent="0.3"/>
    <row r="1138" ht="12.75" customHeight="1" x14ac:dyDescent="0.3"/>
    <row r="1139" ht="12.75" customHeight="1" x14ac:dyDescent="0.3"/>
    <row r="1140" ht="12.75" customHeight="1" x14ac:dyDescent="0.3"/>
    <row r="1141" ht="12.75" customHeight="1" x14ac:dyDescent="0.3"/>
    <row r="1142" ht="12.75" customHeight="1" x14ac:dyDescent="0.3"/>
    <row r="1143" ht="12.75" customHeight="1" x14ac:dyDescent="0.3"/>
    <row r="1144" ht="12.75" customHeight="1" x14ac:dyDescent="0.3"/>
    <row r="1145" ht="12.75" customHeight="1" x14ac:dyDescent="0.3"/>
    <row r="1146" ht="12.75" customHeight="1" x14ac:dyDescent="0.3"/>
    <row r="1147" ht="12.75" customHeight="1" x14ac:dyDescent="0.3"/>
    <row r="1148" ht="12.75" customHeight="1" x14ac:dyDescent="0.3"/>
    <row r="1149" ht="12.75" customHeight="1" x14ac:dyDescent="0.3"/>
    <row r="1150" ht="12.75" customHeight="1" x14ac:dyDescent="0.3"/>
    <row r="1151" ht="12.75" customHeight="1" x14ac:dyDescent="0.3"/>
    <row r="1152" ht="12.75" customHeight="1" x14ac:dyDescent="0.3"/>
    <row r="1153" ht="12.75" customHeight="1" x14ac:dyDescent="0.3"/>
    <row r="1154" ht="12.75" customHeight="1" x14ac:dyDescent="0.3"/>
    <row r="1155" ht="12.75" customHeight="1" x14ac:dyDescent="0.3"/>
    <row r="1156" ht="12.75" customHeight="1" x14ac:dyDescent="0.3"/>
    <row r="1157" ht="12.75" customHeight="1" x14ac:dyDescent="0.3"/>
    <row r="1158" ht="12.75" customHeight="1" x14ac:dyDescent="0.3"/>
    <row r="1159" ht="12.75" customHeight="1" x14ac:dyDescent="0.3"/>
    <row r="1160" ht="12.75" customHeight="1" x14ac:dyDescent="0.3"/>
    <row r="1161" ht="12.75" customHeight="1" x14ac:dyDescent="0.3"/>
    <row r="1162" ht="12.75" customHeight="1" x14ac:dyDescent="0.3"/>
    <row r="1163" ht="12.75" customHeight="1" x14ac:dyDescent="0.3"/>
    <row r="1164" ht="12.75" customHeight="1" x14ac:dyDescent="0.3"/>
    <row r="1165" ht="12.75" customHeight="1" x14ac:dyDescent="0.3"/>
    <row r="1166" ht="12.75" customHeight="1" x14ac:dyDescent="0.3"/>
    <row r="1167" ht="12.75" customHeight="1" x14ac:dyDescent="0.3"/>
    <row r="1168" ht="12.75" customHeight="1" x14ac:dyDescent="0.3"/>
    <row r="1169" ht="12.75" customHeight="1" x14ac:dyDescent="0.3"/>
    <row r="1170" ht="12.75" customHeight="1" x14ac:dyDescent="0.3"/>
    <row r="1171" ht="12.75" customHeight="1" x14ac:dyDescent="0.3"/>
    <row r="1172" ht="12.75" customHeight="1" x14ac:dyDescent="0.3"/>
    <row r="1173" ht="12.75" customHeight="1" x14ac:dyDescent="0.3"/>
    <row r="1174" ht="12.75" customHeight="1" x14ac:dyDescent="0.3"/>
    <row r="1175" ht="12.75" customHeight="1" x14ac:dyDescent="0.3"/>
    <row r="1176" ht="12.75" customHeight="1" x14ac:dyDescent="0.3"/>
    <row r="1177" ht="12.75" customHeight="1" x14ac:dyDescent="0.3"/>
    <row r="1178" ht="12.75" customHeight="1" x14ac:dyDescent="0.3"/>
    <row r="1179" ht="12.75" customHeight="1" x14ac:dyDescent="0.3"/>
    <row r="1180" ht="12.75" customHeight="1" x14ac:dyDescent="0.3"/>
    <row r="1181" ht="12.75" customHeight="1" x14ac:dyDescent="0.3"/>
    <row r="1182" ht="12.75" customHeight="1" x14ac:dyDescent="0.3"/>
    <row r="1183" ht="12.75" customHeight="1" x14ac:dyDescent="0.3"/>
    <row r="1184" ht="12.75" customHeight="1" x14ac:dyDescent="0.3"/>
    <row r="1185" ht="12.75" customHeight="1" x14ac:dyDescent="0.3"/>
    <row r="1186" ht="12.75" customHeight="1" x14ac:dyDescent="0.3"/>
    <row r="1187" ht="12.75" customHeight="1" x14ac:dyDescent="0.3"/>
    <row r="1188" ht="12.75" customHeight="1" x14ac:dyDescent="0.3"/>
    <row r="1189" ht="12.75" customHeight="1" x14ac:dyDescent="0.3"/>
    <row r="1190" ht="12.75" customHeight="1" x14ac:dyDescent="0.3"/>
    <row r="1191" ht="12.75" customHeight="1" x14ac:dyDescent="0.3"/>
    <row r="1192" ht="12.75" customHeight="1" x14ac:dyDescent="0.3"/>
    <row r="1193" ht="12.75" customHeight="1" x14ac:dyDescent="0.3"/>
    <row r="1194" ht="12.75" customHeight="1" x14ac:dyDescent="0.3"/>
    <row r="1195" ht="12.75" customHeight="1" x14ac:dyDescent="0.3"/>
    <row r="1196" ht="12.75" customHeight="1" x14ac:dyDescent="0.3"/>
    <row r="1197" ht="12.75" customHeight="1" x14ac:dyDescent="0.3"/>
    <row r="1198" ht="12.75" customHeight="1" x14ac:dyDescent="0.3"/>
    <row r="1199" ht="12.75" customHeight="1" x14ac:dyDescent="0.3"/>
    <row r="1200" ht="12.75" customHeight="1" x14ac:dyDescent="0.3"/>
    <row r="1201" ht="12.75" customHeight="1" x14ac:dyDescent="0.3"/>
    <row r="1202" ht="12.75" customHeight="1" x14ac:dyDescent="0.3"/>
    <row r="1203" ht="12.75" customHeight="1" x14ac:dyDescent="0.3"/>
    <row r="1204" ht="12.75" customHeight="1" x14ac:dyDescent="0.3"/>
    <row r="1205" ht="12.75" customHeight="1" x14ac:dyDescent="0.3"/>
    <row r="1206" ht="12.75" customHeight="1" x14ac:dyDescent="0.3"/>
    <row r="1207" ht="12.75" customHeight="1" x14ac:dyDescent="0.3"/>
    <row r="1208" ht="12.75" customHeight="1" x14ac:dyDescent="0.3"/>
    <row r="1209" ht="12.75" customHeight="1" x14ac:dyDescent="0.3"/>
    <row r="1210" ht="12.75" customHeight="1" x14ac:dyDescent="0.3"/>
    <row r="1211" ht="12.75" customHeight="1" x14ac:dyDescent="0.3"/>
    <row r="1212" ht="12.75" customHeight="1" x14ac:dyDescent="0.3"/>
    <row r="1213" ht="12.75" customHeight="1" x14ac:dyDescent="0.3"/>
    <row r="1214" ht="12.75" customHeight="1" x14ac:dyDescent="0.3"/>
    <row r="1215" ht="12.75" customHeight="1" x14ac:dyDescent="0.3"/>
    <row r="1216" ht="12.75" customHeight="1" x14ac:dyDescent="0.3"/>
    <row r="1217" ht="12.75" customHeight="1" x14ac:dyDescent="0.3"/>
    <row r="1218" ht="12.75" customHeight="1" x14ac:dyDescent="0.3"/>
    <row r="1219" ht="12.75" customHeight="1" x14ac:dyDescent="0.3"/>
    <row r="1220" ht="12.75" customHeight="1" x14ac:dyDescent="0.3"/>
    <row r="1221" ht="12.75" customHeight="1" x14ac:dyDescent="0.3"/>
    <row r="1222" ht="12.75" customHeight="1" x14ac:dyDescent="0.3"/>
    <row r="1223" ht="12.75" customHeight="1" x14ac:dyDescent="0.3"/>
    <row r="1224" ht="12.75" customHeight="1" x14ac:dyDescent="0.3"/>
    <row r="1225" ht="12.75" customHeight="1" x14ac:dyDescent="0.3"/>
    <row r="1226" ht="12.75" customHeight="1" x14ac:dyDescent="0.3"/>
    <row r="1227" ht="12.75" customHeight="1" x14ac:dyDescent="0.3"/>
    <row r="1228" ht="12.75" customHeight="1" x14ac:dyDescent="0.3"/>
    <row r="1229" ht="12.75" customHeight="1" x14ac:dyDescent="0.3"/>
    <row r="1230" ht="12.75" customHeight="1" x14ac:dyDescent="0.3"/>
    <row r="1231" ht="12.75" customHeight="1" x14ac:dyDescent="0.3"/>
    <row r="1232" ht="12.75" customHeight="1" x14ac:dyDescent="0.3"/>
    <row r="1233" ht="12.75" customHeight="1" x14ac:dyDescent="0.3"/>
    <row r="1234" ht="12.75" customHeight="1" x14ac:dyDescent="0.3"/>
    <row r="1235" ht="12.75" customHeight="1" x14ac:dyDescent="0.3"/>
    <row r="1236" ht="12.75" customHeight="1" x14ac:dyDescent="0.3"/>
    <row r="1237" ht="12.75" customHeight="1" x14ac:dyDescent="0.3"/>
    <row r="1238" ht="12.75" customHeight="1" x14ac:dyDescent="0.3"/>
    <row r="1239" ht="12.75" customHeight="1" x14ac:dyDescent="0.3"/>
    <row r="1240" ht="12.75" customHeight="1" x14ac:dyDescent="0.3"/>
    <row r="1241" ht="12.75" customHeight="1" x14ac:dyDescent="0.3"/>
    <row r="1242" ht="12.75" customHeight="1" x14ac:dyDescent="0.3"/>
    <row r="1243" ht="12.75" customHeight="1" x14ac:dyDescent="0.3"/>
    <row r="1244" ht="12.75" customHeight="1" x14ac:dyDescent="0.3"/>
    <row r="1245" ht="12.75" customHeight="1" x14ac:dyDescent="0.3"/>
    <row r="1246" ht="12.75" customHeight="1" x14ac:dyDescent="0.3"/>
    <row r="1247" ht="12.75" customHeight="1" x14ac:dyDescent="0.3"/>
    <row r="1248" ht="12.75" customHeight="1" x14ac:dyDescent="0.3"/>
    <row r="1249" ht="12.75" customHeight="1" x14ac:dyDescent="0.3"/>
    <row r="1250" ht="12.75" customHeight="1" x14ac:dyDescent="0.3"/>
    <row r="1251" ht="12.75" customHeight="1" x14ac:dyDescent="0.3"/>
    <row r="1252" ht="12.75" customHeight="1" x14ac:dyDescent="0.3"/>
    <row r="1253" ht="12.75" customHeight="1" x14ac:dyDescent="0.3"/>
    <row r="1254" ht="12.75" customHeight="1" x14ac:dyDescent="0.3"/>
    <row r="1255" ht="12.75" customHeight="1" x14ac:dyDescent="0.3"/>
    <row r="1256" ht="12.75" customHeight="1" x14ac:dyDescent="0.3"/>
    <row r="1257" ht="12.75" customHeight="1" x14ac:dyDescent="0.3"/>
    <row r="1258" ht="12.75" customHeight="1" x14ac:dyDescent="0.3"/>
    <row r="1259" ht="12.75" customHeight="1" x14ac:dyDescent="0.3"/>
    <row r="1260" ht="12.75" customHeight="1" x14ac:dyDescent="0.3"/>
    <row r="1261" ht="12.75" customHeight="1" x14ac:dyDescent="0.3"/>
    <row r="1262" ht="12.75" customHeight="1" x14ac:dyDescent="0.3"/>
    <row r="1263" ht="12.75" customHeight="1" x14ac:dyDescent="0.3"/>
    <row r="1264" ht="12.75" customHeight="1" x14ac:dyDescent="0.3"/>
    <row r="1265" ht="12.75" customHeight="1" x14ac:dyDescent="0.3"/>
    <row r="1266" ht="12.75" customHeight="1" x14ac:dyDescent="0.3"/>
    <row r="1267" ht="12.75" customHeight="1" x14ac:dyDescent="0.3"/>
    <row r="1268" ht="12.75" customHeight="1" x14ac:dyDescent="0.3"/>
    <row r="1269" ht="12.75" customHeight="1" x14ac:dyDescent="0.3"/>
    <row r="1270" ht="12.75" customHeight="1" x14ac:dyDescent="0.3"/>
    <row r="1271" ht="12.75" customHeight="1" x14ac:dyDescent="0.3"/>
    <row r="1272" ht="12.75" customHeight="1" x14ac:dyDescent="0.3"/>
    <row r="1273" ht="12.75" customHeight="1" x14ac:dyDescent="0.3"/>
    <row r="1274" ht="12.75" customHeight="1" x14ac:dyDescent="0.3"/>
    <row r="1275" ht="12.75" customHeight="1" x14ac:dyDescent="0.3"/>
    <row r="1276" ht="12.75" customHeight="1" x14ac:dyDescent="0.3"/>
    <row r="1277" ht="12.75" customHeight="1" x14ac:dyDescent="0.3"/>
    <row r="1278" ht="12.75" customHeight="1" x14ac:dyDescent="0.3"/>
    <row r="1279" ht="12.75" customHeight="1" x14ac:dyDescent="0.3"/>
    <row r="1280" ht="12.75" customHeight="1" x14ac:dyDescent="0.3"/>
    <row r="1281" ht="12.75" customHeight="1" x14ac:dyDescent="0.3"/>
    <row r="1282" ht="12.75" customHeight="1" x14ac:dyDescent="0.3"/>
    <row r="1283" ht="12.75" customHeight="1" x14ac:dyDescent="0.3"/>
    <row r="1284" ht="12.75" customHeight="1" x14ac:dyDescent="0.3"/>
    <row r="1285" ht="12.75" customHeight="1" x14ac:dyDescent="0.3"/>
    <row r="1286" ht="12.75" customHeight="1" x14ac:dyDescent="0.3"/>
    <row r="1287" ht="12.75" customHeight="1" x14ac:dyDescent="0.3"/>
    <row r="1288" ht="12.75" customHeight="1" x14ac:dyDescent="0.3"/>
    <row r="1289" ht="12.75" customHeight="1" x14ac:dyDescent="0.3"/>
    <row r="1290" ht="12.75" customHeight="1" x14ac:dyDescent="0.3"/>
    <row r="1291" ht="12.75" customHeight="1" x14ac:dyDescent="0.3"/>
    <row r="1292" ht="12.75" customHeight="1" x14ac:dyDescent="0.3"/>
    <row r="1293" ht="12.75" customHeight="1" x14ac:dyDescent="0.3"/>
    <row r="1294" ht="12.75" customHeight="1" x14ac:dyDescent="0.3"/>
    <row r="1295" ht="12.75" customHeight="1" x14ac:dyDescent="0.3"/>
    <row r="1296" ht="12.75" customHeight="1" x14ac:dyDescent="0.3"/>
    <row r="1297" ht="12.75" customHeight="1" x14ac:dyDescent="0.3"/>
    <row r="1298" ht="12.75" customHeight="1" x14ac:dyDescent="0.3"/>
    <row r="1299" ht="12.75" customHeight="1" x14ac:dyDescent="0.3"/>
    <row r="1300" ht="12.75" customHeight="1" x14ac:dyDescent="0.3"/>
    <row r="1301" ht="12.75" customHeight="1" x14ac:dyDescent="0.3"/>
    <row r="1302" ht="12.75" customHeight="1" x14ac:dyDescent="0.3"/>
    <row r="1303" ht="12.75" customHeight="1" x14ac:dyDescent="0.3"/>
    <row r="1304" ht="12.75" customHeight="1" x14ac:dyDescent="0.3"/>
    <row r="1305" ht="12.75" customHeight="1" x14ac:dyDescent="0.3"/>
    <row r="1306" ht="12.75" customHeight="1" x14ac:dyDescent="0.3"/>
    <row r="1307" ht="12.75" customHeight="1" x14ac:dyDescent="0.3"/>
    <row r="1308" ht="12.75" customHeight="1" x14ac:dyDescent="0.3"/>
    <row r="1309" ht="12.75" customHeight="1" x14ac:dyDescent="0.3"/>
    <row r="1310" ht="12.75" customHeight="1" x14ac:dyDescent="0.3"/>
    <row r="1311" ht="12.75" customHeight="1" x14ac:dyDescent="0.3"/>
    <row r="1312" ht="12.75" customHeight="1" x14ac:dyDescent="0.3"/>
    <row r="1313" ht="12.75" customHeight="1" x14ac:dyDescent="0.3"/>
    <row r="1314" ht="12.75" customHeight="1" x14ac:dyDescent="0.3"/>
    <row r="1315" ht="12.75" customHeight="1" x14ac:dyDescent="0.3"/>
    <row r="1316" ht="12.75" customHeight="1" x14ac:dyDescent="0.3"/>
    <row r="1317" ht="12.75" customHeight="1" x14ac:dyDescent="0.3"/>
    <row r="1318" ht="12.75" customHeight="1" x14ac:dyDescent="0.3"/>
    <row r="1319" ht="12.75" customHeight="1" x14ac:dyDescent="0.3"/>
    <row r="1320" ht="12.75" customHeight="1" x14ac:dyDescent="0.3"/>
    <row r="1321" ht="12.75" customHeight="1" x14ac:dyDescent="0.3"/>
    <row r="1322" ht="12.75" customHeight="1" x14ac:dyDescent="0.3"/>
    <row r="1323" ht="12.75" customHeight="1" x14ac:dyDescent="0.3"/>
    <row r="1324" ht="12.75" customHeight="1" x14ac:dyDescent="0.3"/>
    <row r="1325" ht="12.75" customHeight="1" x14ac:dyDescent="0.3"/>
  </sheetData>
  <sheetProtection algorithmName="SHA-512" hashValue="gG/EeDzrhoihEMSYGLaDyGMaK1cvJkWxE1hPs71EqwOrADHeTXDjru4Etw5gvyV0tlAtVR+fxODfU1925aK1CA==" saltValue="hj+ZgUNW0B7bNdNZZTfz/w==" spinCount="100000" sheet="1" objects="1" scenarios="1"/>
  <phoneticPr fontId="0" type="noConversion"/>
  <pageMargins left="0.78740157480314965" right="0.78740157480314965" top="0.98425196850393704" bottom="0.98425196850393704" header="0.51181102362204722" footer="0.51181102362204722"/>
  <pageSetup paperSize="9" scale="55" fitToHeight="0" orientation="portrait" horizontalDpi="4294967293" verticalDpi="4294967293" r:id="rId1"/>
  <headerFooter alignWithMargins="0">
    <oddHeader>&amp;L&amp;"Arial,Vet"&amp;F&amp;R&amp;"Arial,Vet"&amp;A</oddHeader>
    <oddFooter>&amp;L&amp;"Arial,Vet"PO-Raad&amp;C&amp;"Arial,Vet"&amp;D&amp;R&amp;"Arial,Vet"pagina &amp;P</oddFooter>
  </headerFooter>
  <rowBreaks count="2" manualBreakCount="2">
    <brk id="98" min="1" max="13" man="1"/>
    <brk id="184" min="1" max="13" man="1"/>
  </rowBreaks>
  <colBreaks count="1" manualBreakCount="1">
    <brk id="16" min="1" max="26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33"/>
  <sheetViews>
    <sheetView zoomScale="85" zoomScaleNormal="85" workbookViewId="0">
      <selection activeCell="F13" sqref="F13"/>
    </sheetView>
  </sheetViews>
  <sheetFormatPr defaultColWidth="9.109375" defaultRowHeight="13.8" x14ac:dyDescent="0.3"/>
  <cols>
    <col min="1" max="1" width="3.6640625" style="410" customWidth="1"/>
    <col min="2" max="3" width="2.6640625" style="410" customWidth="1"/>
    <col min="4" max="4" width="45.6640625" style="410" customWidth="1"/>
    <col min="5" max="5" width="2.6640625" style="410" customWidth="1"/>
    <col min="6" max="8" width="14.88671875" style="410" customWidth="1"/>
    <col min="9" max="9" width="14.88671875" style="417" customWidth="1"/>
    <col min="10" max="15" width="14.88671875" style="410" customWidth="1"/>
    <col min="16" max="17" width="2.6640625" style="410" customWidth="1"/>
    <col min="18" max="16384" width="9.109375" style="410"/>
  </cols>
  <sheetData>
    <row r="1" spans="2:17" ht="12.75" customHeight="1" x14ac:dyDescent="0.3"/>
    <row r="2" spans="2:17" x14ac:dyDescent="0.3">
      <c r="B2" s="418"/>
      <c r="C2" s="419"/>
      <c r="D2" s="419"/>
      <c r="E2" s="419"/>
      <c r="F2" s="419"/>
      <c r="G2" s="419"/>
      <c r="H2" s="419"/>
      <c r="I2" s="420"/>
      <c r="J2" s="419"/>
      <c r="K2" s="419"/>
      <c r="L2" s="419"/>
      <c r="M2" s="419"/>
      <c r="N2" s="419"/>
      <c r="O2" s="419"/>
      <c r="P2" s="419"/>
      <c r="Q2" s="421"/>
    </row>
    <row r="3" spans="2:17" x14ac:dyDescent="0.3">
      <c r="B3" s="422"/>
      <c r="C3" s="423"/>
      <c r="D3" s="423"/>
      <c r="E3" s="423"/>
      <c r="F3" s="423"/>
      <c r="G3" s="423"/>
      <c r="H3" s="423"/>
      <c r="I3" s="424"/>
      <c r="J3" s="423"/>
      <c r="K3" s="423"/>
      <c r="L3" s="423"/>
      <c r="M3" s="423"/>
      <c r="N3" s="423"/>
      <c r="O3" s="423"/>
      <c r="P3" s="423"/>
      <c r="Q3" s="425"/>
    </row>
    <row r="4" spans="2:17" s="414" customFormat="1" ht="18" x14ac:dyDescent="0.35">
      <c r="B4" s="850"/>
      <c r="C4" s="834" t="s">
        <v>545</v>
      </c>
      <c r="D4" s="427"/>
      <c r="E4" s="427"/>
      <c r="F4" s="427"/>
      <c r="G4" s="427"/>
      <c r="H4" s="73"/>
      <c r="I4" s="73"/>
      <c r="J4" s="73"/>
      <c r="K4" s="427"/>
      <c r="L4" s="427"/>
      <c r="M4" s="427"/>
      <c r="N4" s="427"/>
      <c r="O4" s="427"/>
      <c r="P4" s="427"/>
      <c r="Q4" s="88"/>
    </row>
    <row r="5" spans="2:17" s="10" customFormat="1" ht="18" customHeight="1" x14ac:dyDescent="0.35">
      <c r="B5" s="66"/>
      <c r="C5" s="319" t="str">
        <f>geg!C5</f>
        <v>Voorbeeldschool</v>
      </c>
      <c r="D5" s="196"/>
      <c r="E5" s="68"/>
      <c r="F5" s="68"/>
      <c r="G5" s="68"/>
      <c r="H5" s="423"/>
      <c r="I5" s="423"/>
      <c r="J5" s="423"/>
      <c r="K5" s="68"/>
      <c r="L5" s="68"/>
      <c r="M5" s="68"/>
      <c r="N5" s="68"/>
      <c r="O5" s="68"/>
      <c r="P5" s="68"/>
      <c r="Q5" s="428"/>
    </row>
    <row r="6" spans="2:17" s="10" customFormat="1" ht="12" customHeight="1" x14ac:dyDescent="0.35">
      <c r="B6" s="66"/>
      <c r="C6" s="429"/>
      <c r="D6" s="196"/>
      <c r="E6" s="68"/>
      <c r="F6" s="68"/>
      <c r="G6" s="68"/>
      <c r="H6" s="423"/>
      <c r="I6" s="423"/>
      <c r="J6" s="423"/>
      <c r="K6" s="68"/>
      <c r="L6" s="68"/>
      <c r="M6" s="68"/>
      <c r="N6" s="68"/>
      <c r="O6" s="68"/>
      <c r="P6" s="68"/>
      <c r="Q6" s="428"/>
    </row>
    <row r="7" spans="2:17" s="10" customFormat="1" ht="12" customHeight="1" x14ac:dyDescent="0.35">
      <c r="B7" s="66"/>
      <c r="C7" s="847"/>
      <c r="D7" s="992"/>
      <c r="E7" s="880"/>
      <c r="F7" s="880"/>
      <c r="G7" s="880"/>
      <c r="H7" s="876"/>
      <c r="I7" s="876"/>
      <c r="J7" s="876"/>
      <c r="K7" s="880"/>
      <c r="L7" s="68"/>
      <c r="M7" s="68"/>
      <c r="N7" s="68"/>
      <c r="O7" s="68"/>
      <c r="P7" s="68"/>
      <c r="Q7" s="428"/>
    </row>
    <row r="8" spans="2:17" s="10" customFormat="1" ht="12" customHeight="1" x14ac:dyDescent="0.35">
      <c r="B8" s="66"/>
      <c r="C8" s="847"/>
      <c r="D8" s="993" t="s">
        <v>40</v>
      </c>
      <c r="E8" s="880"/>
      <c r="F8" s="880"/>
      <c r="G8" s="880"/>
      <c r="H8" s="876"/>
      <c r="I8" s="876"/>
      <c r="J8" s="876"/>
      <c r="K8" s="880"/>
      <c r="L8" s="68"/>
      <c r="M8" s="68"/>
      <c r="N8" s="68"/>
      <c r="O8" s="68"/>
      <c r="P8" s="68"/>
      <c r="Q8" s="428"/>
    </row>
    <row r="9" spans="2:17" s="10" customFormat="1" ht="12" customHeight="1" x14ac:dyDescent="0.35">
      <c r="B9" s="66"/>
      <c r="C9" s="847"/>
      <c r="D9" s="994" t="s">
        <v>41</v>
      </c>
      <c r="E9" s="880"/>
      <c r="F9" s="880"/>
      <c r="G9" s="880"/>
      <c r="H9" s="876"/>
      <c r="I9" s="876"/>
      <c r="J9" s="876"/>
      <c r="K9" s="880"/>
      <c r="L9" s="68"/>
      <c r="M9" s="68"/>
      <c r="N9" s="68"/>
      <c r="O9" s="68"/>
      <c r="P9" s="68"/>
      <c r="Q9" s="428"/>
    </row>
    <row r="10" spans="2:17" s="10" customFormat="1" ht="12" customHeight="1" x14ac:dyDescent="0.35">
      <c r="B10" s="66"/>
      <c r="C10" s="847"/>
      <c r="D10" s="994" t="s">
        <v>400</v>
      </c>
      <c r="E10" s="880"/>
      <c r="F10" s="880"/>
      <c r="G10" s="880"/>
      <c r="H10" s="876"/>
      <c r="I10" s="876"/>
      <c r="J10" s="876"/>
      <c r="K10" s="880"/>
      <c r="L10" s="68"/>
      <c r="M10" s="68"/>
      <c r="N10" s="68"/>
      <c r="O10" s="68"/>
      <c r="P10" s="68"/>
      <c r="Q10" s="428"/>
    </row>
    <row r="11" spans="2:17" s="10" customFormat="1" ht="12" customHeight="1" x14ac:dyDescent="0.35">
      <c r="B11" s="66"/>
      <c r="C11" s="430"/>
      <c r="D11" s="995"/>
      <c r="E11" s="880"/>
      <c r="F11" s="880"/>
      <c r="G11" s="880"/>
      <c r="H11" s="876"/>
      <c r="I11" s="876"/>
      <c r="J11" s="876"/>
      <c r="K11" s="880"/>
      <c r="L11" s="68"/>
      <c r="M11" s="68"/>
      <c r="N11" s="68"/>
      <c r="O11" s="68"/>
      <c r="P11" s="68"/>
      <c r="Q11" s="428"/>
    </row>
    <row r="12" spans="2:17" ht="12" customHeight="1" x14ac:dyDescent="0.3">
      <c r="B12" s="431"/>
      <c r="C12" s="429"/>
      <c r="D12" s="996"/>
      <c r="E12" s="876"/>
      <c r="F12" s="876"/>
      <c r="G12" s="871"/>
      <c r="H12" s="876"/>
      <c r="I12" s="876"/>
      <c r="J12" s="876"/>
      <c r="K12" s="876"/>
      <c r="L12" s="423"/>
      <c r="M12" s="423"/>
      <c r="N12" s="423"/>
      <c r="O12" s="423"/>
      <c r="P12" s="423"/>
      <c r="Q12" s="425"/>
    </row>
    <row r="13" spans="2:17" s="12" customFormat="1" ht="12" customHeight="1" x14ac:dyDescent="0.3">
      <c r="B13" s="432"/>
      <c r="C13" s="156"/>
      <c r="D13" s="997"/>
      <c r="E13" s="876"/>
      <c r="F13" s="871">
        <f>tab!B4</f>
        <v>2020</v>
      </c>
      <c r="G13" s="871">
        <f t="shared" ref="G13:O13" si="0">F13+1</f>
        <v>2021</v>
      </c>
      <c r="H13" s="871">
        <f t="shared" si="0"/>
        <v>2022</v>
      </c>
      <c r="I13" s="871">
        <f t="shared" si="0"/>
        <v>2023</v>
      </c>
      <c r="J13" s="871">
        <f t="shared" si="0"/>
        <v>2024</v>
      </c>
      <c r="K13" s="871">
        <f t="shared" si="0"/>
        <v>2025</v>
      </c>
      <c r="L13" s="871">
        <f t="shared" si="0"/>
        <v>2026</v>
      </c>
      <c r="M13" s="871">
        <f t="shared" si="0"/>
        <v>2027</v>
      </c>
      <c r="N13" s="871">
        <f t="shared" si="0"/>
        <v>2028</v>
      </c>
      <c r="O13" s="871">
        <f t="shared" si="0"/>
        <v>2029</v>
      </c>
      <c r="P13" s="73"/>
      <c r="Q13" s="76"/>
    </row>
    <row r="14" spans="2:17" ht="12" customHeight="1" x14ac:dyDescent="0.3">
      <c r="B14" s="431"/>
      <c r="C14" s="429"/>
      <c r="D14" s="195"/>
      <c r="E14" s="423"/>
      <c r="F14" s="423"/>
      <c r="G14" s="423"/>
      <c r="H14" s="423"/>
      <c r="I14" s="423"/>
      <c r="J14" s="423"/>
      <c r="K14" s="423"/>
      <c r="L14" s="423"/>
      <c r="M14" s="423"/>
      <c r="N14" s="423"/>
      <c r="O14" s="423"/>
      <c r="P14" s="423"/>
      <c r="Q14" s="425"/>
    </row>
    <row r="15" spans="2:17" x14ac:dyDescent="0.3">
      <c r="B15" s="422"/>
      <c r="C15" s="434"/>
      <c r="D15" s="290"/>
      <c r="F15" s="435"/>
      <c r="G15" s="436"/>
      <c r="H15" s="436"/>
      <c r="I15" s="436"/>
      <c r="J15" s="436"/>
      <c r="K15" s="437"/>
      <c r="L15" s="437"/>
      <c r="M15" s="437"/>
      <c r="N15" s="437"/>
      <c r="O15" s="437"/>
      <c r="P15" s="438"/>
      <c r="Q15" s="425"/>
    </row>
    <row r="16" spans="2:17" x14ac:dyDescent="0.3">
      <c r="B16" s="422"/>
      <c r="C16" s="439"/>
      <c r="D16" s="440" t="s">
        <v>42</v>
      </c>
      <c r="E16" s="441"/>
      <c r="F16" s="442">
        <v>0</v>
      </c>
      <c r="G16" s="841">
        <f>F19</f>
        <v>0</v>
      </c>
      <c r="H16" s="841">
        <f t="shared" ref="H16:O16" si="1">G19</f>
        <v>0</v>
      </c>
      <c r="I16" s="841">
        <f t="shared" si="1"/>
        <v>0</v>
      </c>
      <c r="J16" s="841">
        <f t="shared" si="1"/>
        <v>0</v>
      </c>
      <c r="K16" s="841">
        <f t="shared" si="1"/>
        <v>0</v>
      </c>
      <c r="L16" s="841">
        <f t="shared" si="1"/>
        <v>0</v>
      </c>
      <c r="M16" s="841">
        <f t="shared" si="1"/>
        <v>0</v>
      </c>
      <c r="N16" s="841">
        <f t="shared" si="1"/>
        <v>0</v>
      </c>
      <c r="O16" s="841">
        <f t="shared" si="1"/>
        <v>0</v>
      </c>
      <c r="P16" s="443"/>
      <c r="Q16" s="425"/>
    </row>
    <row r="17" spans="2:17" x14ac:dyDescent="0.3">
      <c r="B17" s="422"/>
      <c r="C17" s="439"/>
      <c r="D17" s="440" t="s">
        <v>43</v>
      </c>
      <c r="E17" s="444"/>
      <c r="F17" s="442">
        <v>0</v>
      </c>
      <c r="G17" s="445">
        <v>0</v>
      </c>
      <c r="H17" s="445">
        <v>0</v>
      </c>
      <c r="I17" s="445">
        <v>0</v>
      </c>
      <c r="J17" s="445">
        <v>0</v>
      </c>
      <c r="K17" s="445">
        <v>0</v>
      </c>
      <c r="L17" s="445">
        <v>0</v>
      </c>
      <c r="M17" s="445">
        <v>0</v>
      </c>
      <c r="N17" s="445">
        <v>0</v>
      </c>
      <c r="O17" s="445">
        <v>0</v>
      </c>
      <c r="P17" s="443"/>
      <c r="Q17" s="425"/>
    </row>
    <row r="18" spans="2:17" x14ac:dyDescent="0.3">
      <c r="B18" s="422"/>
      <c r="C18" s="439"/>
      <c r="D18" s="440" t="s">
        <v>44</v>
      </c>
      <c r="E18" s="441"/>
      <c r="F18" s="442">
        <v>0</v>
      </c>
      <c r="G18" s="445">
        <v>0</v>
      </c>
      <c r="H18" s="445">
        <v>0</v>
      </c>
      <c r="I18" s="445">
        <v>0</v>
      </c>
      <c r="J18" s="445">
        <v>0</v>
      </c>
      <c r="K18" s="445">
        <v>0</v>
      </c>
      <c r="L18" s="445">
        <v>0</v>
      </c>
      <c r="M18" s="445">
        <v>0</v>
      </c>
      <c r="N18" s="445">
        <v>0</v>
      </c>
      <c r="O18" s="445">
        <v>0</v>
      </c>
      <c r="P18" s="443"/>
      <c r="Q18" s="425"/>
    </row>
    <row r="19" spans="2:17" x14ac:dyDescent="0.3">
      <c r="B19" s="422"/>
      <c r="C19" s="446"/>
      <c r="D19" s="416" t="s">
        <v>45</v>
      </c>
      <c r="E19" s="444"/>
      <c r="F19" s="998">
        <f t="shared" ref="F19:O19" si="2">SUM(F16:F17)-F18</f>
        <v>0</v>
      </c>
      <c r="G19" s="999">
        <f t="shared" si="2"/>
        <v>0</v>
      </c>
      <c r="H19" s="999">
        <f t="shared" si="2"/>
        <v>0</v>
      </c>
      <c r="I19" s="999">
        <f t="shared" si="2"/>
        <v>0</v>
      </c>
      <c r="J19" s="999">
        <f t="shared" si="2"/>
        <v>0</v>
      </c>
      <c r="K19" s="999">
        <f t="shared" si="2"/>
        <v>0</v>
      </c>
      <c r="L19" s="999">
        <f t="shared" si="2"/>
        <v>0</v>
      </c>
      <c r="M19" s="999">
        <f t="shared" si="2"/>
        <v>0</v>
      </c>
      <c r="N19" s="999">
        <f t="shared" si="2"/>
        <v>0</v>
      </c>
      <c r="O19" s="999">
        <f t="shared" si="2"/>
        <v>0</v>
      </c>
      <c r="P19" s="443"/>
      <c r="Q19" s="425"/>
    </row>
    <row r="20" spans="2:17" x14ac:dyDescent="0.3">
      <c r="B20" s="422"/>
      <c r="C20" s="417"/>
      <c r="F20" s="447"/>
      <c r="G20" s="448"/>
      <c r="H20" s="449"/>
      <c r="I20" s="448"/>
      <c r="J20" s="448"/>
      <c r="K20" s="448"/>
      <c r="L20" s="448"/>
      <c r="M20" s="448"/>
      <c r="N20" s="448"/>
      <c r="O20" s="448"/>
      <c r="P20" s="450"/>
      <c r="Q20" s="425"/>
    </row>
    <row r="21" spans="2:17" ht="12.75" customHeight="1" x14ac:dyDescent="0.3">
      <c r="B21" s="431"/>
      <c r="C21" s="429"/>
      <c r="D21" s="195"/>
      <c r="E21" s="423"/>
      <c r="F21" s="423"/>
      <c r="G21" s="423"/>
      <c r="H21" s="424"/>
      <c r="I21" s="423"/>
      <c r="J21" s="423"/>
      <c r="K21" s="423"/>
      <c r="L21" s="423"/>
      <c r="M21" s="423"/>
      <c r="N21" s="423"/>
      <c r="O21" s="423"/>
      <c r="P21" s="423"/>
      <c r="Q21" s="425"/>
    </row>
    <row r="22" spans="2:17" ht="12.75" customHeight="1" x14ac:dyDescent="0.3">
      <c r="B22" s="431"/>
      <c r="C22" s="429"/>
      <c r="D22" s="195"/>
      <c r="E22" s="423"/>
      <c r="F22" s="423"/>
      <c r="G22" s="423"/>
      <c r="H22" s="424"/>
      <c r="I22" s="423"/>
      <c r="J22" s="423"/>
      <c r="K22" s="423"/>
      <c r="L22" s="423"/>
      <c r="M22" s="423"/>
      <c r="N22" s="423"/>
      <c r="O22" s="423"/>
      <c r="P22" s="423"/>
      <c r="Q22" s="425"/>
    </row>
    <row r="23" spans="2:17" s="12" customFormat="1" ht="12.75" customHeight="1" x14ac:dyDescent="0.3">
      <c r="B23" s="451"/>
      <c r="C23" s="156"/>
      <c r="D23" s="433"/>
      <c r="E23" s="73"/>
      <c r="F23" s="871">
        <f>O13+1</f>
        <v>2030</v>
      </c>
      <c r="G23" s="871">
        <f t="shared" ref="G23:O23" si="3">F23+1</f>
        <v>2031</v>
      </c>
      <c r="H23" s="871">
        <f t="shared" si="3"/>
        <v>2032</v>
      </c>
      <c r="I23" s="871">
        <f t="shared" si="3"/>
        <v>2033</v>
      </c>
      <c r="J23" s="871">
        <f t="shared" si="3"/>
        <v>2034</v>
      </c>
      <c r="K23" s="871">
        <f t="shared" si="3"/>
        <v>2035</v>
      </c>
      <c r="L23" s="871">
        <f t="shared" si="3"/>
        <v>2036</v>
      </c>
      <c r="M23" s="871">
        <f t="shared" si="3"/>
        <v>2037</v>
      </c>
      <c r="N23" s="871">
        <f t="shared" si="3"/>
        <v>2038</v>
      </c>
      <c r="O23" s="871">
        <f t="shared" si="3"/>
        <v>2039</v>
      </c>
      <c r="P23" s="75"/>
      <c r="Q23" s="76"/>
    </row>
    <row r="24" spans="2:17" ht="12.75" customHeight="1" x14ac:dyDescent="0.3">
      <c r="B24" s="431"/>
      <c r="C24" s="429"/>
      <c r="D24" s="195"/>
      <c r="E24" s="423"/>
      <c r="F24" s="423"/>
      <c r="G24" s="423"/>
      <c r="H24" s="423"/>
      <c r="I24" s="423"/>
      <c r="J24" s="423"/>
      <c r="K24" s="423"/>
      <c r="L24" s="423"/>
      <c r="M24" s="423"/>
      <c r="N24" s="423"/>
      <c r="O24" s="423"/>
      <c r="P24" s="423"/>
      <c r="Q24" s="425"/>
    </row>
    <row r="25" spans="2:17" ht="12.75" customHeight="1" x14ac:dyDescent="0.3">
      <c r="B25" s="431"/>
      <c r="C25" s="434"/>
      <c r="D25" s="290"/>
      <c r="F25" s="435"/>
      <c r="G25" s="436"/>
      <c r="H25" s="436"/>
      <c r="I25" s="436"/>
      <c r="J25" s="436"/>
      <c r="K25" s="436"/>
      <c r="L25" s="436"/>
      <c r="M25" s="436"/>
      <c r="N25" s="436"/>
      <c r="O25" s="436"/>
      <c r="P25" s="438"/>
      <c r="Q25" s="425"/>
    </row>
    <row r="26" spans="2:17" ht="12.75" customHeight="1" x14ac:dyDescent="0.3">
      <c r="B26" s="431"/>
      <c r="C26" s="439"/>
      <c r="D26" s="440" t="s">
        <v>42</v>
      </c>
      <c r="E26" s="441"/>
      <c r="F26" s="1000">
        <f>O19</f>
        <v>0</v>
      </c>
      <c r="G26" s="841">
        <f>F29</f>
        <v>0</v>
      </c>
      <c r="H26" s="841">
        <f t="shared" ref="H26:O26" si="4">G29</f>
        <v>0</v>
      </c>
      <c r="I26" s="841">
        <f t="shared" si="4"/>
        <v>0</v>
      </c>
      <c r="J26" s="841">
        <f t="shared" si="4"/>
        <v>0</v>
      </c>
      <c r="K26" s="841">
        <f t="shared" si="4"/>
        <v>0</v>
      </c>
      <c r="L26" s="841">
        <f t="shared" si="4"/>
        <v>0</v>
      </c>
      <c r="M26" s="841">
        <f t="shared" si="4"/>
        <v>0</v>
      </c>
      <c r="N26" s="841">
        <f t="shared" si="4"/>
        <v>0</v>
      </c>
      <c r="O26" s="841">
        <f t="shared" si="4"/>
        <v>0</v>
      </c>
      <c r="P26" s="443"/>
      <c r="Q26" s="425"/>
    </row>
    <row r="27" spans="2:17" ht="12.75" customHeight="1" x14ac:dyDescent="0.3">
      <c r="B27" s="431"/>
      <c r="C27" s="439"/>
      <c r="D27" s="440" t="s">
        <v>43</v>
      </c>
      <c r="E27" s="444"/>
      <c r="F27" s="442">
        <v>0</v>
      </c>
      <c r="G27" s="445">
        <v>0</v>
      </c>
      <c r="H27" s="445">
        <v>0</v>
      </c>
      <c r="I27" s="445">
        <v>0</v>
      </c>
      <c r="J27" s="445">
        <v>0</v>
      </c>
      <c r="K27" s="445">
        <v>0</v>
      </c>
      <c r="L27" s="445">
        <v>0</v>
      </c>
      <c r="M27" s="445">
        <v>0</v>
      </c>
      <c r="N27" s="445">
        <v>0</v>
      </c>
      <c r="O27" s="445">
        <v>0</v>
      </c>
      <c r="P27" s="443"/>
      <c r="Q27" s="425"/>
    </row>
    <row r="28" spans="2:17" ht="12.75" customHeight="1" x14ac:dyDescent="0.3">
      <c r="B28" s="431"/>
      <c r="C28" s="439"/>
      <c r="D28" s="440" t="s">
        <v>44</v>
      </c>
      <c r="E28" s="441"/>
      <c r="F28" s="442">
        <v>0</v>
      </c>
      <c r="G28" s="445">
        <v>0</v>
      </c>
      <c r="H28" s="445">
        <v>0</v>
      </c>
      <c r="I28" s="445">
        <v>0</v>
      </c>
      <c r="J28" s="445">
        <v>0</v>
      </c>
      <c r="K28" s="445">
        <v>0</v>
      </c>
      <c r="L28" s="445">
        <v>0</v>
      </c>
      <c r="M28" s="445">
        <v>0</v>
      </c>
      <c r="N28" s="445">
        <v>0</v>
      </c>
      <c r="O28" s="445">
        <v>0</v>
      </c>
      <c r="P28" s="443"/>
      <c r="Q28" s="425"/>
    </row>
    <row r="29" spans="2:17" ht="12.75" customHeight="1" x14ac:dyDescent="0.3">
      <c r="B29" s="431"/>
      <c r="C29" s="446"/>
      <c r="D29" s="416" t="s">
        <v>45</v>
      </c>
      <c r="E29" s="444"/>
      <c r="F29" s="998">
        <f t="shared" ref="F29:O29" si="5">SUM(F26:F27)-F28</f>
        <v>0</v>
      </c>
      <c r="G29" s="999">
        <f t="shared" si="5"/>
        <v>0</v>
      </c>
      <c r="H29" s="999">
        <f t="shared" si="5"/>
        <v>0</v>
      </c>
      <c r="I29" s="999">
        <f t="shared" si="5"/>
        <v>0</v>
      </c>
      <c r="J29" s="999">
        <f t="shared" si="5"/>
        <v>0</v>
      </c>
      <c r="K29" s="999">
        <f t="shared" si="5"/>
        <v>0</v>
      </c>
      <c r="L29" s="999">
        <f t="shared" si="5"/>
        <v>0</v>
      </c>
      <c r="M29" s="999">
        <f t="shared" si="5"/>
        <v>0</v>
      </c>
      <c r="N29" s="999">
        <f t="shared" si="5"/>
        <v>0</v>
      </c>
      <c r="O29" s="999">
        <f t="shared" si="5"/>
        <v>0</v>
      </c>
      <c r="P29" s="443"/>
      <c r="Q29" s="425"/>
    </row>
    <row r="30" spans="2:17" ht="12.75" customHeight="1" x14ac:dyDescent="0.3">
      <c r="B30" s="431"/>
      <c r="C30" s="417"/>
      <c r="F30" s="447"/>
      <c r="G30" s="448"/>
      <c r="H30" s="448"/>
      <c r="I30" s="448"/>
      <c r="J30" s="448"/>
      <c r="K30" s="448"/>
      <c r="L30" s="448"/>
      <c r="M30" s="448"/>
      <c r="N30" s="448"/>
      <c r="O30" s="448"/>
      <c r="P30" s="450"/>
      <c r="Q30" s="425"/>
    </row>
    <row r="31" spans="2:17" ht="12.75" customHeight="1" x14ac:dyDescent="0.3">
      <c r="B31" s="431"/>
      <c r="C31" s="429"/>
      <c r="D31" s="195"/>
      <c r="E31" s="423"/>
      <c r="F31" s="423"/>
      <c r="G31" s="423"/>
      <c r="H31" s="423"/>
      <c r="I31" s="423"/>
      <c r="J31" s="423"/>
      <c r="K31" s="423"/>
      <c r="L31" s="423"/>
      <c r="M31" s="423"/>
      <c r="N31" s="423"/>
      <c r="O31" s="423"/>
      <c r="P31" s="423"/>
      <c r="Q31" s="425"/>
    </row>
    <row r="32" spans="2:17" s="455" customFormat="1" ht="12.75" customHeight="1" x14ac:dyDescent="0.3">
      <c r="B32" s="452"/>
      <c r="C32" s="453"/>
      <c r="D32" s="453"/>
      <c r="E32" s="453"/>
      <c r="F32" s="453"/>
      <c r="G32" s="453"/>
      <c r="H32" s="453"/>
      <c r="I32" s="453"/>
      <c r="J32" s="453"/>
      <c r="K32" s="453"/>
      <c r="L32" s="453"/>
      <c r="M32" s="453"/>
      <c r="N32" s="453"/>
      <c r="O32" s="453"/>
      <c r="P32" s="83" t="s">
        <v>385</v>
      </c>
      <c r="Q32" s="454"/>
    </row>
    <row r="33" ht="12" customHeight="1" collapsed="1" x14ac:dyDescent="0.3"/>
  </sheetData>
  <sheetProtection algorithmName="SHA-512" hashValue="zl+pEGF81HfnFdc/kgxky4H/XfmPytYY5Zs6ly/VtIiNPObk8hpi2PumoVZFKAiI//P3Caqu1qgXzg+I5e/Wrw==" saltValue="/d4nD4WZN0rXy7kVU+pj8w==" spinCount="100000" sheet="1" objects="1" scenarios="1"/>
  <phoneticPr fontId="0" type="noConversion"/>
  <pageMargins left="0.78740157480314965" right="0.78740157480314965" top="0.98425196850393704" bottom="0.98425196850393704" header="0.51181102362204722" footer="0.51181102362204722"/>
  <pageSetup paperSize="9" scale="63"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P150"/>
  <sheetViews>
    <sheetView zoomScale="85" zoomScaleNormal="85" zoomScaleSheetLayoutView="85" workbookViewId="0">
      <pane ySplit="12" topLeftCell="A13" activePane="bottomLeft" state="frozen"/>
      <selection activeCell="A4" sqref="A4:XFD4"/>
      <selection pane="bottomLeft" activeCell="AC22" sqref="AC22"/>
    </sheetView>
  </sheetViews>
  <sheetFormatPr defaultColWidth="9.109375" defaultRowHeight="13.8" x14ac:dyDescent="0.3"/>
  <cols>
    <col min="1" max="1" width="3.6640625" style="8" customWidth="1"/>
    <col min="2" max="3" width="2.6640625" style="8" customWidth="1"/>
    <col min="4" max="5" width="25.6640625" style="15" customWidth="1"/>
    <col min="6" max="7" width="8.6640625" style="16" customWidth="1"/>
    <col min="8" max="10" width="10.6640625" style="16" customWidth="1"/>
    <col min="11" max="11" width="0.88671875" style="8" customWidth="1"/>
    <col min="12" max="12" width="12.6640625" style="8" hidden="1" customWidth="1"/>
    <col min="13" max="16" width="10.6640625" style="8" customWidth="1"/>
    <col min="17" max="17" width="0.88671875" style="8" customWidth="1"/>
    <col min="18" max="24" width="10.6640625" style="8" customWidth="1"/>
    <col min="25" max="25" width="0.88671875" style="8" customWidth="1"/>
    <col min="26" max="32" width="10.6640625" style="8" customWidth="1"/>
    <col min="33" max="34" width="2.88671875" style="8" customWidth="1"/>
    <col min="35" max="16384" width="9.109375" style="8"/>
  </cols>
  <sheetData>
    <row r="2" spans="2:42" x14ac:dyDescent="0.3">
      <c r="B2" s="56"/>
      <c r="C2" s="57"/>
      <c r="D2" s="85"/>
      <c r="E2" s="85"/>
      <c r="F2" s="86"/>
      <c r="G2" s="86"/>
      <c r="H2" s="86"/>
      <c r="I2" s="86"/>
      <c r="J2" s="86"/>
      <c r="K2" s="57"/>
      <c r="L2" s="57"/>
      <c r="M2" s="57"/>
      <c r="N2" s="57"/>
      <c r="O2" s="57"/>
      <c r="P2" s="57"/>
      <c r="Q2" s="57"/>
      <c r="R2" s="57"/>
      <c r="S2" s="57"/>
      <c r="T2" s="57"/>
      <c r="U2" s="57"/>
      <c r="V2" s="57"/>
      <c r="W2" s="57"/>
      <c r="X2" s="57"/>
      <c r="Y2" s="57"/>
      <c r="Z2" s="57"/>
      <c r="AA2" s="57"/>
      <c r="AB2" s="57"/>
      <c r="AC2" s="57"/>
      <c r="AD2" s="57"/>
      <c r="AE2" s="57"/>
      <c r="AF2" s="57"/>
      <c r="AG2" s="57"/>
      <c r="AH2" s="60"/>
    </row>
    <row r="3" spans="2:42" x14ac:dyDescent="0.3">
      <c r="B3" s="61"/>
      <c r="C3" s="62"/>
      <c r="D3" s="78"/>
      <c r="E3" s="78"/>
      <c r="F3" s="79"/>
      <c r="G3" s="79"/>
      <c r="H3" s="79"/>
      <c r="I3" s="79"/>
      <c r="J3" s="79"/>
      <c r="K3" s="62"/>
      <c r="L3" s="62"/>
      <c r="M3" s="62"/>
      <c r="N3" s="62"/>
      <c r="O3" s="62"/>
      <c r="P3" s="62"/>
      <c r="Q3" s="62"/>
      <c r="R3" s="62"/>
      <c r="S3" s="62"/>
      <c r="T3" s="62"/>
      <c r="U3" s="62"/>
      <c r="V3" s="62"/>
      <c r="W3" s="62"/>
      <c r="X3" s="62"/>
      <c r="Y3" s="62"/>
      <c r="Z3" s="62"/>
      <c r="AA3" s="62"/>
      <c r="AB3" s="62"/>
      <c r="AC3" s="62"/>
      <c r="AD3" s="62"/>
      <c r="AE3" s="62"/>
      <c r="AF3" s="62"/>
      <c r="AG3" s="62"/>
      <c r="AH3" s="65"/>
    </row>
    <row r="4" spans="2:42" s="852" customFormat="1" ht="18" customHeight="1" x14ac:dyDescent="0.35">
      <c r="B4" s="849"/>
      <c r="C4" s="834" t="s">
        <v>331</v>
      </c>
      <c r="D4" s="834"/>
      <c r="E4" s="833"/>
      <c r="F4" s="851"/>
      <c r="G4" s="851"/>
      <c r="H4" s="851"/>
      <c r="I4" s="851"/>
      <c r="J4" s="851"/>
      <c r="K4" s="834"/>
      <c r="L4" s="834"/>
      <c r="M4" s="834"/>
      <c r="N4" s="834"/>
      <c r="O4" s="834"/>
      <c r="P4" s="834"/>
      <c r="Q4" s="834"/>
      <c r="R4" s="834"/>
      <c r="S4" s="834"/>
      <c r="T4" s="834"/>
      <c r="U4" s="834"/>
      <c r="V4" s="834"/>
      <c r="W4" s="834"/>
      <c r="X4" s="834"/>
      <c r="Y4" s="834"/>
      <c r="Z4" s="834"/>
      <c r="AA4" s="834"/>
      <c r="AB4" s="834"/>
      <c r="AC4" s="834"/>
      <c r="AD4" s="834"/>
      <c r="AE4" s="834"/>
      <c r="AF4" s="834"/>
      <c r="AG4" s="834"/>
      <c r="AH4" s="1206"/>
    </row>
    <row r="5" spans="2:42" ht="18.75" customHeight="1" x14ac:dyDescent="0.35">
      <c r="B5" s="61"/>
      <c r="C5" s="68" t="str">
        <f>geg!F11</f>
        <v>Voorbeeldschool</v>
      </c>
      <c r="D5" s="69"/>
      <c r="E5" s="78"/>
      <c r="F5" s="79"/>
      <c r="G5" s="79"/>
      <c r="H5" s="79"/>
      <c r="I5" s="79"/>
      <c r="J5" s="79"/>
      <c r="K5" s="62"/>
      <c r="L5" s="62"/>
      <c r="M5" s="62"/>
      <c r="N5" s="62"/>
      <c r="O5" s="62"/>
      <c r="P5" s="62"/>
      <c r="Q5" s="62"/>
      <c r="R5" s="62"/>
      <c r="S5" s="62"/>
      <c r="T5" s="62"/>
      <c r="U5" s="62"/>
      <c r="V5" s="62"/>
      <c r="W5" s="62"/>
      <c r="X5" s="62"/>
      <c r="Y5" s="62"/>
      <c r="Z5" s="62"/>
      <c r="AA5" s="62"/>
      <c r="AB5" s="62"/>
      <c r="AC5" s="62"/>
      <c r="AD5" s="62"/>
      <c r="AE5" s="62"/>
      <c r="AF5" s="62"/>
      <c r="AG5" s="62"/>
      <c r="AH5" s="65"/>
    </row>
    <row r="6" spans="2:42" s="887" customFormat="1" ht="12" customHeight="1" x14ac:dyDescent="0.3">
      <c r="B6" s="1207"/>
      <c r="C6" s="1001"/>
      <c r="D6" s="1002"/>
      <c r="E6" s="1002"/>
      <c r="F6" s="1003"/>
      <c r="G6" s="1003"/>
      <c r="H6" s="1003"/>
      <c r="I6" s="1003"/>
      <c r="J6" s="1003"/>
      <c r="K6" s="876"/>
      <c r="L6" s="876"/>
      <c r="M6" s="876"/>
      <c r="N6" s="876"/>
      <c r="O6" s="876"/>
      <c r="P6" s="876"/>
      <c r="Q6" s="876"/>
      <c r="R6" s="876"/>
      <c r="S6" s="876"/>
      <c r="T6" s="876"/>
      <c r="U6" s="876"/>
      <c r="V6" s="876"/>
      <c r="W6" s="876"/>
      <c r="X6" s="876"/>
      <c r="Y6" s="876"/>
      <c r="Z6" s="876"/>
      <c r="AA6" s="876"/>
      <c r="AB6" s="876"/>
      <c r="AC6" s="876"/>
      <c r="AD6" s="876"/>
      <c r="AE6" s="876"/>
      <c r="AF6" s="876"/>
      <c r="AG6" s="876"/>
      <c r="AH6" s="1208"/>
    </row>
    <row r="7" spans="2:42" s="908" customFormat="1" x14ac:dyDescent="0.3">
      <c r="B7" s="1209"/>
      <c r="C7" s="1004"/>
      <c r="D7" s="994" t="s">
        <v>237</v>
      </c>
      <c r="E7" s="994" t="s">
        <v>236</v>
      </c>
      <c r="F7" s="1004" t="s">
        <v>240</v>
      </c>
      <c r="G7" s="1004" t="s">
        <v>370</v>
      </c>
      <c r="H7" s="1004" t="s">
        <v>234</v>
      </c>
      <c r="I7" s="1004" t="s">
        <v>191</v>
      </c>
      <c r="J7" s="1004" t="s">
        <v>235</v>
      </c>
      <c r="K7" s="1004"/>
      <c r="L7" s="1004" t="s">
        <v>264</v>
      </c>
      <c r="M7" s="1004" t="s">
        <v>266</v>
      </c>
      <c r="N7" s="1004" t="s">
        <v>210</v>
      </c>
      <c r="O7" s="1005" t="s">
        <v>263</v>
      </c>
      <c r="P7" s="1004" t="s">
        <v>404</v>
      </c>
      <c r="Q7" s="1004"/>
      <c r="R7" s="1004">
        <f>P8</f>
        <v>2020</v>
      </c>
      <c r="S7" s="1006">
        <f>R7+1</f>
        <v>2021</v>
      </c>
      <c r="T7" s="1006">
        <f>R7+2</f>
        <v>2022</v>
      </c>
      <c r="U7" s="1007">
        <f>R7+3</f>
        <v>2023</v>
      </c>
      <c r="V7" s="1007">
        <f>S7+3</f>
        <v>2024</v>
      </c>
      <c r="W7" s="1007">
        <f>T7+3</f>
        <v>2025</v>
      </c>
      <c r="X7" s="1007">
        <f>U7+3</f>
        <v>2026</v>
      </c>
      <c r="Y7" s="1004"/>
      <c r="Z7" s="1004">
        <f t="shared" ref="Z7:AF7" si="0">R7</f>
        <v>2020</v>
      </c>
      <c r="AA7" s="1004">
        <f t="shared" si="0"/>
        <v>2021</v>
      </c>
      <c r="AB7" s="1004">
        <f t="shared" si="0"/>
        <v>2022</v>
      </c>
      <c r="AC7" s="1004">
        <f t="shared" si="0"/>
        <v>2023</v>
      </c>
      <c r="AD7" s="1004">
        <f t="shared" si="0"/>
        <v>2024</v>
      </c>
      <c r="AE7" s="1004">
        <f t="shared" si="0"/>
        <v>2025</v>
      </c>
      <c r="AF7" s="1004">
        <f t="shared" si="0"/>
        <v>2026</v>
      </c>
      <c r="AG7" s="1004"/>
      <c r="AH7" s="1210"/>
    </row>
    <row r="8" spans="2:42" s="908" customFormat="1" x14ac:dyDescent="0.3">
      <c r="B8" s="1209"/>
      <c r="C8" s="1004"/>
      <c r="D8" s="994"/>
      <c r="E8" s="994"/>
      <c r="F8" s="1004" t="s">
        <v>239</v>
      </c>
      <c r="G8" s="1004" t="s">
        <v>371</v>
      </c>
      <c r="H8" s="1004" t="s">
        <v>238</v>
      </c>
      <c r="I8" s="1004" t="s">
        <v>189</v>
      </c>
      <c r="J8" s="1004" t="s">
        <v>195</v>
      </c>
      <c r="K8" s="1004"/>
      <c r="L8" s="1004"/>
      <c r="M8" s="1004" t="s">
        <v>267</v>
      </c>
      <c r="N8" s="1004" t="s">
        <v>268</v>
      </c>
      <c r="O8" s="1005" t="s">
        <v>210</v>
      </c>
      <c r="P8" s="1005">
        <f>tab!B4</f>
        <v>2020</v>
      </c>
      <c r="Q8" s="1004"/>
      <c r="R8" s="1004" t="s">
        <v>210</v>
      </c>
      <c r="S8" s="1004" t="s">
        <v>210</v>
      </c>
      <c r="T8" s="1004" t="s">
        <v>210</v>
      </c>
      <c r="U8" s="1004" t="s">
        <v>210</v>
      </c>
      <c r="V8" s="1004" t="s">
        <v>210</v>
      </c>
      <c r="W8" s="1004" t="s">
        <v>210</v>
      </c>
      <c r="X8" s="1004" t="s">
        <v>210</v>
      </c>
      <c r="Y8" s="1004"/>
      <c r="Z8" s="1004" t="s">
        <v>213</v>
      </c>
      <c r="AA8" s="1004" t="s">
        <v>213</v>
      </c>
      <c r="AB8" s="1004" t="s">
        <v>213</v>
      </c>
      <c r="AC8" s="1004" t="s">
        <v>213</v>
      </c>
      <c r="AD8" s="1004" t="s">
        <v>213</v>
      </c>
      <c r="AE8" s="1004" t="s">
        <v>213</v>
      </c>
      <c r="AF8" s="1004" t="s">
        <v>213</v>
      </c>
      <c r="AG8" s="1004"/>
      <c r="AH8" s="1210"/>
    </row>
    <row r="9" spans="2:42" s="908" customFormat="1" x14ac:dyDescent="0.3">
      <c r="B9" s="1209"/>
      <c r="C9" s="1004"/>
      <c r="D9" s="994"/>
      <c r="E9" s="994"/>
      <c r="F9" s="1004"/>
      <c r="G9" s="1004"/>
      <c r="H9" s="1004"/>
      <c r="I9" s="1004"/>
      <c r="J9" s="1004"/>
      <c r="K9" s="1004"/>
      <c r="L9" s="1004"/>
      <c r="M9" s="1004"/>
      <c r="N9" s="1004"/>
      <c r="O9" s="1005"/>
      <c r="P9" s="1005"/>
      <c r="Q9" s="1004"/>
      <c r="R9" s="1004"/>
      <c r="S9" s="1004"/>
      <c r="T9" s="1004"/>
      <c r="U9" s="1004"/>
      <c r="V9" s="1004"/>
      <c r="W9" s="1004"/>
      <c r="X9" s="1004"/>
      <c r="Y9" s="1004"/>
      <c r="Z9" s="1004"/>
      <c r="AA9" s="1004"/>
      <c r="AB9" s="1004"/>
      <c r="AC9" s="1004"/>
      <c r="AD9" s="1004"/>
      <c r="AE9" s="1004"/>
      <c r="AF9" s="1004"/>
      <c r="AG9" s="1004"/>
      <c r="AH9" s="1210"/>
    </row>
    <row r="10" spans="2:42" s="17" customFormat="1" x14ac:dyDescent="0.3">
      <c r="B10" s="1211"/>
      <c r="C10" s="457"/>
      <c r="D10" s="257"/>
      <c r="E10" s="257"/>
      <c r="F10" s="458"/>
      <c r="G10" s="458"/>
      <c r="H10" s="458"/>
      <c r="I10" s="458"/>
      <c r="J10" s="458"/>
      <c r="K10" s="458"/>
      <c r="L10" s="458"/>
      <c r="M10" s="458"/>
      <c r="N10" s="458"/>
      <c r="O10" s="459"/>
      <c r="P10" s="459"/>
      <c r="Q10" s="458"/>
      <c r="R10" s="458"/>
      <c r="S10" s="458"/>
      <c r="T10" s="458"/>
      <c r="U10" s="458"/>
      <c r="V10" s="458"/>
      <c r="W10" s="458"/>
      <c r="X10" s="458"/>
      <c r="Y10" s="458"/>
      <c r="Z10" s="458"/>
      <c r="AA10" s="458"/>
      <c r="AB10" s="458"/>
      <c r="AC10" s="458"/>
      <c r="AD10" s="458"/>
      <c r="AE10" s="1229"/>
      <c r="AF10" s="1229"/>
      <c r="AH10" s="1212"/>
    </row>
    <row r="11" spans="2:42" x14ac:dyDescent="0.3">
      <c r="B11" s="61"/>
      <c r="C11" s="114"/>
      <c r="D11" s="115"/>
      <c r="E11" s="115"/>
      <c r="F11" s="116"/>
      <c r="G11" s="116"/>
      <c r="H11" s="116"/>
      <c r="I11" s="116"/>
      <c r="J11" s="116"/>
      <c r="K11" s="112"/>
      <c r="L11" s="112"/>
      <c r="M11" s="112"/>
      <c r="N11" s="112"/>
      <c r="O11" s="112"/>
      <c r="P11" s="921">
        <f>SUM(P13:P146)</f>
        <v>175000</v>
      </c>
      <c r="Q11" s="112"/>
      <c r="R11" s="921">
        <f t="shared" ref="R11:W11" si="1">SUM(R13:R146)</f>
        <v>43750</v>
      </c>
      <c r="S11" s="921">
        <f t="shared" si="1"/>
        <v>43750</v>
      </c>
      <c r="T11" s="921">
        <f t="shared" si="1"/>
        <v>43750</v>
      </c>
      <c r="U11" s="921">
        <f t="shared" si="1"/>
        <v>87500</v>
      </c>
      <c r="V11" s="921">
        <f t="shared" si="1"/>
        <v>43750</v>
      </c>
      <c r="W11" s="921">
        <f t="shared" si="1"/>
        <v>43750</v>
      </c>
      <c r="X11" s="921">
        <f t="shared" ref="X11" si="2">SUM(X13:X146)</f>
        <v>43750</v>
      </c>
      <c r="Y11" s="112"/>
      <c r="Z11" s="921">
        <f t="shared" ref="Z11:AE11" si="3">SUM(Z13:Z146)</f>
        <v>0</v>
      </c>
      <c r="AA11" s="921">
        <f t="shared" si="3"/>
        <v>0</v>
      </c>
      <c r="AB11" s="921">
        <f t="shared" si="3"/>
        <v>0</v>
      </c>
      <c r="AC11" s="921">
        <f t="shared" si="3"/>
        <v>218750</v>
      </c>
      <c r="AD11" s="921">
        <f t="shared" si="3"/>
        <v>0</v>
      </c>
      <c r="AE11" s="1230">
        <f t="shared" si="3"/>
        <v>0</v>
      </c>
      <c r="AF11" s="1230">
        <f t="shared" ref="AF11" si="4">SUM(AF13:AF146)</f>
        <v>0</v>
      </c>
      <c r="AH11" s="65"/>
    </row>
    <row r="12" spans="2:42" s="17" customFormat="1" x14ac:dyDescent="0.3">
      <c r="B12" s="1211"/>
      <c r="C12" s="460"/>
      <c r="D12" s="210"/>
      <c r="E12" s="210"/>
      <c r="F12" s="168"/>
      <c r="G12" s="168"/>
      <c r="H12" s="168"/>
      <c r="I12" s="168"/>
      <c r="J12" s="168"/>
      <c r="K12" s="168"/>
      <c r="L12" s="168"/>
      <c r="M12" s="168"/>
      <c r="N12" s="168"/>
      <c r="O12" s="366"/>
      <c r="P12" s="366"/>
      <c r="Q12" s="168"/>
      <c r="R12" s="168"/>
      <c r="S12" s="168"/>
      <c r="T12" s="168"/>
      <c r="U12" s="168"/>
      <c r="V12" s="168"/>
      <c r="W12" s="168"/>
      <c r="X12" s="168"/>
      <c r="Y12" s="168"/>
      <c r="Z12" s="116"/>
      <c r="AA12" s="116"/>
      <c r="AB12" s="116"/>
      <c r="AC12" s="116"/>
      <c r="AD12" s="116"/>
      <c r="AE12" s="117"/>
      <c r="AF12" s="117"/>
      <c r="AH12" s="1212"/>
    </row>
    <row r="13" spans="2:42" x14ac:dyDescent="0.3">
      <c r="B13" s="61"/>
      <c r="C13" s="114"/>
      <c r="D13" s="267" t="s">
        <v>344</v>
      </c>
      <c r="E13" s="388" t="s">
        <v>603</v>
      </c>
      <c r="F13" s="355"/>
      <c r="G13" s="105">
        <v>250</v>
      </c>
      <c r="H13" s="203">
        <v>875</v>
      </c>
      <c r="I13" s="105">
        <v>2019</v>
      </c>
      <c r="J13" s="105">
        <v>5</v>
      </c>
      <c r="K13" s="112"/>
      <c r="L13" s="116">
        <f>IF(J13="geen",9999999999,J13)</f>
        <v>5</v>
      </c>
      <c r="M13" s="924">
        <f t="shared" ref="M13:M43" si="5">G13*H13</f>
        <v>218750</v>
      </c>
      <c r="N13" s="924">
        <f>IF(G13=0,0,(G13*H13)/L13)</f>
        <v>43750</v>
      </c>
      <c r="O13" s="1008">
        <f t="shared" ref="O13:O43" si="6">IF(L13=0,"-",(IF(L13&gt;3000,"-",I13+L13-1)))</f>
        <v>2023</v>
      </c>
      <c r="P13" s="924">
        <f>IF(J13="geen",IF(I13&lt;$R$7,G13*H13,0),IF(I13&gt;=$R$7,0,IF((H13*G13-(R$7-I13)*N13)&lt;0,0,H13*G13-(R$7-I13)*N13)))</f>
        <v>175000</v>
      </c>
      <c r="Q13" s="112"/>
      <c r="R13" s="924">
        <f t="shared" ref="R13:R43" si="7">(IF(R$7&lt;$I13,0,IF($O13&lt;=R$7-1,0,$N13)))</f>
        <v>43750</v>
      </c>
      <c r="S13" s="924">
        <f t="shared" ref="S13:S43" si="8">(IF(S$7&lt;$I13,0,IF($O13&lt;=S$7-1,0,$N13)))</f>
        <v>43750</v>
      </c>
      <c r="T13" s="924">
        <f t="shared" ref="T13:T43" si="9">(IF(T$7&lt;$I13,0,IF($O13&lt;=T$7-1,0,$N13)))</f>
        <v>43750</v>
      </c>
      <c r="U13" s="924">
        <f t="shared" ref="U13:X32" si="10">(IF(U$7&lt;$I13,0,IF($O13&lt;=U$7-1,0,$N13)))</f>
        <v>43750</v>
      </c>
      <c r="V13" s="924">
        <f t="shared" si="10"/>
        <v>0</v>
      </c>
      <c r="W13" s="924">
        <f t="shared" si="10"/>
        <v>0</v>
      </c>
      <c r="X13" s="924">
        <f t="shared" si="10"/>
        <v>0</v>
      </c>
      <c r="Y13" s="112"/>
      <c r="Z13" s="924">
        <f t="shared" ref="Z13:AF22" si="11">IF(Z$7=$I13,($G13*$H13),0)</f>
        <v>0</v>
      </c>
      <c r="AA13" s="924">
        <f t="shared" si="11"/>
        <v>0</v>
      </c>
      <c r="AB13" s="924">
        <f t="shared" si="11"/>
        <v>0</v>
      </c>
      <c r="AC13" s="924">
        <f t="shared" si="11"/>
        <v>0</v>
      </c>
      <c r="AD13" s="924">
        <f t="shared" si="11"/>
        <v>0</v>
      </c>
      <c r="AE13" s="1231">
        <f t="shared" si="11"/>
        <v>0</v>
      </c>
      <c r="AF13" s="1231">
        <f t="shared" si="11"/>
        <v>0</v>
      </c>
      <c r="AH13" s="65"/>
      <c r="AP13" s="8" t="s">
        <v>345</v>
      </c>
    </row>
    <row r="14" spans="2:42" x14ac:dyDescent="0.3">
      <c r="B14" s="61"/>
      <c r="C14" s="114"/>
      <c r="D14" s="267" t="s">
        <v>344</v>
      </c>
      <c r="E14" s="388" t="s">
        <v>603</v>
      </c>
      <c r="F14" s="355"/>
      <c r="G14" s="105">
        <v>250</v>
      </c>
      <c r="H14" s="203">
        <v>875</v>
      </c>
      <c r="I14" s="105">
        <v>2023</v>
      </c>
      <c r="J14" s="105">
        <v>5</v>
      </c>
      <c r="K14" s="112"/>
      <c r="L14" s="116">
        <f t="shared" ref="L14:L107" si="12">IF(J14="geen",9999999999,J14)</f>
        <v>5</v>
      </c>
      <c r="M14" s="924">
        <f t="shared" si="5"/>
        <v>218750</v>
      </c>
      <c r="N14" s="924">
        <f t="shared" ref="N14:N43" si="13">IF(G14=0,0,(G14*H14)/L14)</f>
        <v>43750</v>
      </c>
      <c r="O14" s="1008">
        <f t="shared" si="6"/>
        <v>2027</v>
      </c>
      <c r="P14" s="924">
        <f t="shared" ref="P14:P77" si="14">IF(J14="geen",IF(I14&lt;$R$7,G14*H14,0),IF(I14&gt;=$R$7,0,IF((H14*G14-(R$7-I14)*N14)&lt;0,0,H14*G14-(R$7-I14)*N14)))</f>
        <v>0</v>
      </c>
      <c r="Q14" s="112"/>
      <c r="R14" s="924">
        <f t="shared" si="7"/>
        <v>0</v>
      </c>
      <c r="S14" s="924">
        <f t="shared" si="8"/>
        <v>0</v>
      </c>
      <c r="T14" s="924">
        <f t="shared" si="9"/>
        <v>0</v>
      </c>
      <c r="U14" s="924">
        <f t="shared" si="10"/>
        <v>43750</v>
      </c>
      <c r="V14" s="924">
        <f t="shared" si="10"/>
        <v>43750</v>
      </c>
      <c r="W14" s="924">
        <f t="shared" si="10"/>
        <v>43750</v>
      </c>
      <c r="X14" s="924">
        <f t="shared" si="10"/>
        <v>43750</v>
      </c>
      <c r="Y14" s="112"/>
      <c r="Z14" s="924">
        <f t="shared" si="11"/>
        <v>0</v>
      </c>
      <c r="AA14" s="924">
        <f t="shared" si="11"/>
        <v>0</v>
      </c>
      <c r="AB14" s="924">
        <f t="shared" si="11"/>
        <v>0</v>
      </c>
      <c r="AC14" s="924">
        <f t="shared" si="11"/>
        <v>218750</v>
      </c>
      <c r="AD14" s="924">
        <f t="shared" si="11"/>
        <v>0</v>
      </c>
      <c r="AE14" s="1231">
        <f t="shared" si="11"/>
        <v>0</v>
      </c>
      <c r="AF14" s="1231">
        <f t="shared" si="11"/>
        <v>0</v>
      </c>
      <c r="AH14" s="65"/>
      <c r="AP14" s="8" t="s">
        <v>363</v>
      </c>
    </row>
    <row r="15" spans="2:42" x14ac:dyDescent="0.3">
      <c r="B15" s="61"/>
      <c r="C15" s="114"/>
      <c r="D15" s="267"/>
      <c r="E15" s="267"/>
      <c r="F15" s="355"/>
      <c r="G15" s="105"/>
      <c r="H15" s="203"/>
      <c r="I15" s="105"/>
      <c r="J15" s="105"/>
      <c r="K15" s="112"/>
      <c r="L15" s="116">
        <f t="shared" si="12"/>
        <v>0</v>
      </c>
      <c r="M15" s="924">
        <f t="shared" si="5"/>
        <v>0</v>
      </c>
      <c r="N15" s="924">
        <f t="shared" si="13"/>
        <v>0</v>
      </c>
      <c r="O15" s="1008" t="str">
        <f t="shared" si="6"/>
        <v>-</v>
      </c>
      <c r="P15" s="924">
        <f t="shared" si="14"/>
        <v>0</v>
      </c>
      <c r="Q15" s="112"/>
      <c r="R15" s="924">
        <f t="shared" si="7"/>
        <v>0</v>
      </c>
      <c r="S15" s="924">
        <f t="shared" si="8"/>
        <v>0</v>
      </c>
      <c r="T15" s="924">
        <f t="shared" si="9"/>
        <v>0</v>
      </c>
      <c r="U15" s="924">
        <f t="shared" si="10"/>
        <v>0</v>
      </c>
      <c r="V15" s="924">
        <f t="shared" si="10"/>
        <v>0</v>
      </c>
      <c r="W15" s="924">
        <f t="shared" si="10"/>
        <v>0</v>
      </c>
      <c r="X15" s="924">
        <f t="shared" si="10"/>
        <v>0</v>
      </c>
      <c r="Y15" s="112"/>
      <c r="Z15" s="924">
        <f t="shared" si="11"/>
        <v>0</v>
      </c>
      <c r="AA15" s="924">
        <f t="shared" si="11"/>
        <v>0</v>
      </c>
      <c r="AB15" s="924">
        <f t="shared" si="11"/>
        <v>0</v>
      </c>
      <c r="AC15" s="924">
        <f t="shared" si="11"/>
        <v>0</v>
      </c>
      <c r="AD15" s="924">
        <f t="shared" si="11"/>
        <v>0</v>
      </c>
      <c r="AE15" s="1231">
        <f t="shared" si="11"/>
        <v>0</v>
      </c>
      <c r="AF15" s="1231">
        <f t="shared" si="11"/>
        <v>0</v>
      </c>
      <c r="AH15" s="65"/>
      <c r="AP15" s="8" t="s">
        <v>343</v>
      </c>
    </row>
    <row r="16" spans="2:42" x14ac:dyDescent="0.3">
      <c r="B16" s="61"/>
      <c r="C16" s="114"/>
      <c r="D16" s="267"/>
      <c r="E16" s="267"/>
      <c r="F16" s="355"/>
      <c r="G16" s="105"/>
      <c r="H16" s="203"/>
      <c r="I16" s="105"/>
      <c r="J16" s="105"/>
      <c r="K16" s="112"/>
      <c r="L16" s="116">
        <f t="shared" si="12"/>
        <v>0</v>
      </c>
      <c r="M16" s="924">
        <f t="shared" si="5"/>
        <v>0</v>
      </c>
      <c r="N16" s="924">
        <f t="shared" si="13"/>
        <v>0</v>
      </c>
      <c r="O16" s="1008" t="str">
        <f t="shared" si="6"/>
        <v>-</v>
      </c>
      <c r="P16" s="924">
        <f t="shared" si="14"/>
        <v>0</v>
      </c>
      <c r="Q16" s="112"/>
      <c r="R16" s="924">
        <f t="shared" si="7"/>
        <v>0</v>
      </c>
      <c r="S16" s="924">
        <f t="shared" si="8"/>
        <v>0</v>
      </c>
      <c r="T16" s="924">
        <f t="shared" si="9"/>
        <v>0</v>
      </c>
      <c r="U16" s="924">
        <f t="shared" si="10"/>
        <v>0</v>
      </c>
      <c r="V16" s="924">
        <f t="shared" si="10"/>
        <v>0</v>
      </c>
      <c r="W16" s="924">
        <f t="shared" si="10"/>
        <v>0</v>
      </c>
      <c r="X16" s="924">
        <f t="shared" si="10"/>
        <v>0</v>
      </c>
      <c r="Y16" s="112"/>
      <c r="Z16" s="924">
        <f t="shared" si="11"/>
        <v>0</v>
      </c>
      <c r="AA16" s="924">
        <f t="shared" si="11"/>
        <v>0</v>
      </c>
      <c r="AB16" s="924">
        <f t="shared" si="11"/>
        <v>0</v>
      </c>
      <c r="AC16" s="924">
        <f t="shared" si="11"/>
        <v>0</v>
      </c>
      <c r="AD16" s="924">
        <f t="shared" si="11"/>
        <v>0</v>
      </c>
      <c r="AE16" s="1231">
        <f t="shared" si="11"/>
        <v>0</v>
      </c>
      <c r="AF16" s="1231">
        <f t="shared" si="11"/>
        <v>0</v>
      </c>
      <c r="AH16" s="65"/>
      <c r="AP16" s="8" t="s">
        <v>344</v>
      </c>
    </row>
    <row r="17" spans="2:42" x14ac:dyDescent="0.3">
      <c r="B17" s="61"/>
      <c r="C17" s="114"/>
      <c r="D17" s="267"/>
      <c r="E17" s="267"/>
      <c r="F17" s="355"/>
      <c r="G17" s="105"/>
      <c r="H17" s="203"/>
      <c r="I17" s="105"/>
      <c r="J17" s="105"/>
      <c r="K17" s="112"/>
      <c r="L17" s="116">
        <f t="shared" si="12"/>
        <v>0</v>
      </c>
      <c r="M17" s="924">
        <f t="shared" si="5"/>
        <v>0</v>
      </c>
      <c r="N17" s="924">
        <f t="shared" si="13"/>
        <v>0</v>
      </c>
      <c r="O17" s="1008" t="str">
        <f t="shared" si="6"/>
        <v>-</v>
      </c>
      <c r="P17" s="924">
        <f t="shared" si="14"/>
        <v>0</v>
      </c>
      <c r="Q17" s="112"/>
      <c r="R17" s="924">
        <f t="shared" si="7"/>
        <v>0</v>
      </c>
      <c r="S17" s="924">
        <f t="shared" si="8"/>
        <v>0</v>
      </c>
      <c r="T17" s="924">
        <f t="shared" si="9"/>
        <v>0</v>
      </c>
      <c r="U17" s="924">
        <f t="shared" si="10"/>
        <v>0</v>
      </c>
      <c r="V17" s="924">
        <f t="shared" si="10"/>
        <v>0</v>
      </c>
      <c r="W17" s="924">
        <f t="shared" si="10"/>
        <v>0</v>
      </c>
      <c r="X17" s="924">
        <f t="shared" si="10"/>
        <v>0</v>
      </c>
      <c r="Y17" s="112"/>
      <c r="Z17" s="924">
        <f t="shared" si="11"/>
        <v>0</v>
      </c>
      <c r="AA17" s="924">
        <f t="shared" si="11"/>
        <v>0</v>
      </c>
      <c r="AB17" s="924">
        <f t="shared" si="11"/>
        <v>0</v>
      </c>
      <c r="AC17" s="924">
        <f t="shared" si="11"/>
        <v>0</v>
      </c>
      <c r="AD17" s="924">
        <f t="shared" si="11"/>
        <v>0</v>
      </c>
      <c r="AE17" s="1231">
        <f t="shared" si="11"/>
        <v>0</v>
      </c>
      <c r="AF17" s="1231">
        <f t="shared" si="11"/>
        <v>0</v>
      </c>
      <c r="AH17" s="65"/>
      <c r="AP17" s="8" t="s">
        <v>332</v>
      </c>
    </row>
    <row r="18" spans="2:42" x14ac:dyDescent="0.3">
      <c r="B18" s="61"/>
      <c r="C18" s="114"/>
      <c r="D18" s="267"/>
      <c r="E18" s="267"/>
      <c r="F18" s="355"/>
      <c r="G18" s="105"/>
      <c r="H18" s="203"/>
      <c r="I18" s="105"/>
      <c r="J18" s="105"/>
      <c r="K18" s="112"/>
      <c r="L18" s="116">
        <f t="shared" si="12"/>
        <v>0</v>
      </c>
      <c r="M18" s="924">
        <f t="shared" si="5"/>
        <v>0</v>
      </c>
      <c r="N18" s="924">
        <f t="shared" si="13"/>
        <v>0</v>
      </c>
      <c r="O18" s="1008" t="str">
        <f t="shared" si="6"/>
        <v>-</v>
      </c>
      <c r="P18" s="924">
        <f t="shared" si="14"/>
        <v>0</v>
      </c>
      <c r="Q18" s="112"/>
      <c r="R18" s="924">
        <f t="shared" si="7"/>
        <v>0</v>
      </c>
      <c r="S18" s="924">
        <f t="shared" si="8"/>
        <v>0</v>
      </c>
      <c r="T18" s="924">
        <f t="shared" si="9"/>
        <v>0</v>
      </c>
      <c r="U18" s="924">
        <f t="shared" si="10"/>
        <v>0</v>
      </c>
      <c r="V18" s="924">
        <f t="shared" si="10"/>
        <v>0</v>
      </c>
      <c r="W18" s="924">
        <f t="shared" si="10"/>
        <v>0</v>
      </c>
      <c r="X18" s="924">
        <f t="shared" si="10"/>
        <v>0</v>
      </c>
      <c r="Y18" s="112"/>
      <c r="Z18" s="924">
        <f t="shared" si="11"/>
        <v>0</v>
      </c>
      <c r="AA18" s="924">
        <f t="shared" si="11"/>
        <v>0</v>
      </c>
      <c r="AB18" s="924">
        <f t="shared" si="11"/>
        <v>0</v>
      </c>
      <c r="AC18" s="924">
        <f t="shared" si="11"/>
        <v>0</v>
      </c>
      <c r="AD18" s="924">
        <f t="shared" si="11"/>
        <v>0</v>
      </c>
      <c r="AE18" s="1231">
        <f t="shared" si="11"/>
        <v>0</v>
      </c>
      <c r="AF18" s="1231">
        <f t="shared" si="11"/>
        <v>0</v>
      </c>
      <c r="AH18" s="65"/>
      <c r="AP18" s="8" t="s">
        <v>346</v>
      </c>
    </row>
    <row r="19" spans="2:42" x14ac:dyDescent="0.3">
      <c r="B19" s="61"/>
      <c r="C19" s="114"/>
      <c r="D19" s="267"/>
      <c r="E19" s="267"/>
      <c r="F19" s="355"/>
      <c r="G19" s="105"/>
      <c r="H19" s="203"/>
      <c r="I19" s="105"/>
      <c r="J19" s="105"/>
      <c r="K19" s="112"/>
      <c r="L19" s="116">
        <f t="shared" si="12"/>
        <v>0</v>
      </c>
      <c r="M19" s="924">
        <f t="shared" si="5"/>
        <v>0</v>
      </c>
      <c r="N19" s="924">
        <f t="shared" si="13"/>
        <v>0</v>
      </c>
      <c r="O19" s="1008" t="str">
        <f t="shared" si="6"/>
        <v>-</v>
      </c>
      <c r="P19" s="924">
        <f t="shared" si="14"/>
        <v>0</v>
      </c>
      <c r="Q19" s="112"/>
      <c r="R19" s="924">
        <f t="shared" si="7"/>
        <v>0</v>
      </c>
      <c r="S19" s="924">
        <f t="shared" si="8"/>
        <v>0</v>
      </c>
      <c r="T19" s="924">
        <f t="shared" si="9"/>
        <v>0</v>
      </c>
      <c r="U19" s="924">
        <f t="shared" si="10"/>
        <v>0</v>
      </c>
      <c r="V19" s="924">
        <f t="shared" si="10"/>
        <v>0</v>
      </c>
      <c r="W19" s="924">
        <f t="shared" si="10"/>
        <v>0</v>
      </c>
      <c r="X19" s="924">
        <f t="shared" si="10"/>
        <v>0</v>
      </c>
      <c r="Y19" s="112"/>
      <c r="Z19" s="924">
        <f t="shared" si="11"/>
        <v>0</v>
      </c>
      <c r="AA19" s="924">
        <f t="shared" si="11"/>
        <v>0</v>
      </c>
      <c r="AB19" s="924">
        <f t="shared" si="11"/>
        <v>0</v>
      </c>
      <c r="AC19" s="924">
        <f t="shared" si="11"/>
        <v>0</v>
      </c>
      <c r="AD19" s="924">
        <f t="shared" si="11"/>
        <v>0</v>
      </c>
      <c r="AE19" s="1231">
        <f t="shared" si="11"/>
        <v>0</v>
      </c>
      <c r="AF19" s="1231">
        <f t="shared" si="11"/>
        <v>0</v>
      </c>
      <c r="AH19" s="65"/>
    </row>
    <row r="20" spans="2:42" x14ac:dyDescent="0.3">
      <c r="B20" s="61"/>
      <c r="C20" s="114"/>
      <c r="D20" s="267"/>
      <c r="E20" s="267"/>
      <c r="F20" s="355"/>
      <c r="G20" s="105"/>
      <c r="H20" s="203"/>
      <c r="I20" s="105"/>
      <c r="J20" s="105"/>
      <c r="K20" s="112"/>
      <c r="L20" s="116">
        <f t="shared" si="12"/>
        <v>0</v>
      </c>
      <c r="M20" s="924">
        <f t="shared" si="5"/>
        <v>0</v>
      </c>
      <c r="N20" s="924">
        <f t="shared" si="13"/>
        <v>0</v>
      </c>
      <c r="O20" s="1008" t="str">
        <f t="shared" si="6"/>
        <v>-</v>
      </c>
      <c r="P20" s="924">
        <f t="shared" si="14"/>
        <v>0</v>
      </c>
      <c r="Q20" s="112"/>
      <c r="R20" s="924">
        <f t="shared" si="7"/>
        <v>0</v>
      </c>
      <c r="S20" s="924">
        <f t="shared" si="8"/>
        <v>0</v>
      </c>
      <c r="T20" s="924">
        <f t="shared" si="9"/>
        <v>0</v>
      </c>
      <c r="U20" s="924">
        <f t="shared" si="10"/>
        <v>0</v>
      </c>
      <c r="V20" s="924">
        <f t="shared" si="10"/>
        <v>0</v>
      </c>
      <c r="W20" s="924">
        <f t="shared" si="10"/>
        <v>0</v>
      </c>
      <c r="X20" s="924">
        <f t="shared" si="10"/>
        <v>0</v>
      </c>
      <c r="Y20" s="112"/>
      <c r="Z20" s="924">
        <f t="shared" si="11"/>
        <v>0</v>
      </c>
      <c r="AA20" s="924">
        <f t="shared" si="11"/>
        <v>0</v>
      </c>
      <c r="AB20" s="924">
        <f t="shared" si="11"/>
        <v>0</v>
      </c>
      <c r="AC20" s="924">
        <f t="shared" si="11"/>
        <v>0</v>
      </c>
      <c r="AD20" s="924">
        <f t="shared" si="11"/>
        <v>0</v>
      </c>
      <c r="AE20" s="1231">
        <f t="shared" si="11"/>
        <v>0</v>
      </c>
      <c r="AF20" s="1231">
        <f t="shared" si="11"/>
        <v>0</v>
      </c>
      <c r="AH20" s="65"/>
    </row>
    <row r="21" spans="2:42" x14ac:dyDescent="0.3">
      <c r="B21" s="61"/>
      <c r="C21" s="114"/>
      <c r="D21" s="267"/>
      <c r="E21" s="267"/>
      <c r="F21" s="355"/>
      <c r="G21" s="105"/>
      <c r="H21" s="203"/>
      <c r="I21" s="105"/>
      <c r="J21" s="105"/>
      <c r="K21" s="112"/>
      <c r="L21" s="116">
        <f t="shared" si="12"/>
        <v>0</v>
      </c>
      <c r="M21" s="924">
        <f t="shared" si="5"/>
        <v>0</v>
      </c>
      <c r="N21" s="924">
        <f t="shared" si="13"/>
        <v>0</v>
      </c>
      <c r="O21" s="1008" t="str">
        <f t="shared" si="6"/>
        <v>-</v>
      </c>
      <c r="P21" s="924">
        <f t="shared" si="14"/>
        <v>0</v>
      </c>
      <c r="Q21" s="112"/>
      <c r="R21" s="924">
        <f t="shared" si="7"/>
        <v>0</v>
      </c>
      <c r="S21" s="924">
        <f t="shared" si="8"/>
        <v>0</v>
      </c>
      <c r="T21" s="924">
        <f t="shared" si="9"/>
        <v>0</v>
      </c>
      <c r="U21" s="924">
        <f t="shared" si="10"/>
        <v>0</v>
      </c>
      <c r="V21" s="924">
        <f t="shared" si="10"/>
        <v>0</v>
      </c>
      <c r="W21" s="924">
        <f t="shared" si="10"/>
        <v>0</v>
      </c>
      <c r="X21" s="924">
        <f t="shared" si="10"/>
        <v>0</v>
      </c>
      <c r="Y21" s="112"/>
      <c r="Z21" s="924">
        <f t="shared" si="11"/>
        <v>0</v>
      </c>
      <c r="AA21" s="924">
        <f t="shared" si="11"/>
        <v>0</v>
      </c>
      <c r="AB21" s="924">
        <f t="shared" si="11"/>
        <v>0</v>
      </c>
      <c r="AC21" s="924">
        <f t="shared" si="11"/>
        <v>0</v>
      </c>
      <c r="AD21" s="924">
        <f t="shared" si="11"/>
        <v>0</v>
      </c>
      <c r="AE21" s="1231">
        <f t="shared" si="11"/>
        <v>0</v>
      </c>
      <c r="AF21" s="1231">
        <f t="shared" si="11"/>
        <v>0</v>
      </c>
      <c r="AH21" s="65"/>
    </row>
    <row r="22" spans="2:42" x14ac:dyDescent="0.3">
      <c r="B22" s="61"/>
      <c r="C22" s="114"/>
      <c r="D22" s="267"/>
      <c r="E22" s="267"/>
      <c r="F22" s="355"/>
      <c r="G22" s="105"/>
      <c r="H22" s="203"/>
      <c r="I22" s="105"/>
      <c r="J22" s="105"/>
      <c r="K22" s="112"/>
      <c r="L22" s="116">
        <f t="shared" si="12"/>
        <v>0</v>
      </c>
      <c r="M22" s="924">
        <f t="shared" si="5"/>
        <v>0</v>
      </c>
      <c r="N22" s="924">
        <f t="shared" si="13"/>
        <v>0</v>
      </c>
      <c r="O22" s="1008" t="str">
        <f t="shared" si="6"/>
        <v>-</v>
      </c>
      <c r="P22" s="924">
        <f t="shared" si="14"/>
        <v>0</v>
      </c>
      <c r="Q22" s="112"/>
      <c r="R22" s="924">
        <f t="shared" si="7"/>
        <v>0</v>
      </c>
      <c r="S22" s="924">
        <f t="shared" si="8"/>
        <v>0</v>
      </c>
      <c r="T22" s="924">
        <f t="shared" si="9"/>
        <v>0</v>
      </c>
      <c r="U22" s="924">
        <f t="shared" si="10"/>
        <v>0</v>
      </c>
      <c r="V22" s="924">
        <f t="shared" si="10"/>
        <v>0</v>
      </c>
      <c r="W22" s="924">
        <f t="shared" si="10"/>
        <v>0</v>
      </c>
      <c r="X22" s="924">
        <f t="shared" si="10"/>
        <v>0</v>
      </c>
      <c r="Y22" s="112"/>
      <c r="Z22" s="924">
        <f t="shared" si="11"/>
        <v>0</v>
      </c>
      <c r="AA22" s="924">
        <f t="shared" si="11"/>
        <v>0</v>
      </c>
      <c r="AB22" s="924">
        <f t="shared" si="11"/>
        <v>0</v>
      </c>
      <c r="AC22" s="924">
        <f t="shared" si="11"/>
        <v>0</v>
      </c>
      <c r="AD22" s="924">
        <f t="shared" si="11"/>
        <v>0</v>
      </c>
      <c r="AE22" s="1231">
        <f t="shared" si="11"/>
        <v>0</v>
      </c>
      <c r="AF22" s="1231">
        <f t="shared" si="11"/>
        <v>0</v>
      </c>
      <c r="AH22" s="65"/>
    </row>
    <row r="23" spans="2:42" x14ac:dyDescent="0.3">
      <c r="B23" s="61"/>
      <c r="C23" s="114"/>
      <c r="D23" s="267"/>
      <c r="E23" s="267"/>
      <c r="F23" s="355"/>
      <c r="G23" s="105"/>
      <c r="H23" s="203"/>
      <c r="I23" s="105"/>
      <c r="J23" s="105"/>
      <c r="K23" s="112"/>
      <c r="L23" s="116">
        <f t="shared" si="12"/>
        <v>0</v>
      </c>
      <c r="M23" s="924">
        <f t="shared" si="5"/>
        <v>0</v>
      </c>
      <c r="N23" s="924">
        <f t="shared" si="13"/>
        <v>0</v>
      </c>
      <c r="O23" s="1008" t="str">
        <f t="shared" si="6"/>
        <v>-</v>
      </c>
      <c r="P23" s="924">
        <f t="shared" si="14"/>
        <v>0</v>
      </c>
      <c r="Q23" s="112"/>
      <c r="R23" s="924">
        <f t="shared" si="7"/>
        <v>0</v>
      </c>
      <c r="S23" s="924">
        <f t="shared" si="8"/>
        <v>0</v>
      </c>
      <c r="T23" s="924">
        <f t="shared" si="9"/>
        <v>0</v>
      </c>
      <c r="U23" s="924">
        <f t="shared" si="10"/>
        <v>0</v>
      </c>
      <c r="V23" s="924">
        <f t="shared" si="10"/>
        <v>0</v>
      </c>
      <c r="W23" s="924">
        <f t="shared" si="10"/>
        <v>0</v>
      </c>
      <c r="X23" s="924">
        <f t="shared" si="10"/>
        <v>0</v>
      </c>
      <c r="Y23" s="112"/>
      <c r="Z23" s="924">
        <f t="shared" ref="Z23:AF32" si="15">IF(Z$7=$I23,($G23*$H23),0)</f>
        <v>0</v>
      </c>
      <c r="AA23" s="924">
        <f t="shared" si="15"/>
        <v>0</v>
      </c>
      <c r="AB23" s="924">
        <f t="shared" si="15"/>
        <v>0</v>
      </c>
      <c r="AC23" s="924">
        <f t="shared" si="15"/>
        <v>0</v>
      </c>
      <c r="AD23" s="924">
        <f t="shared" si="15"/>
        <v>0</v>
      </c>
      <c r="AE23" s="1231">
        <f t="shared" si="15"/>
        <v>0</v>
      </c>
      <c r="AF23" s="1231">
        <f t="shared" si="15"/>
        <v>0</v>
      </c>
      <c r="AH23" s="65"/>
    </row>
    <row r="24" spans="2:42" x14ac:dyDescent="0.3">
      <c r="B24" s="61"/>
      <c r="C24" s="114"/>
      <c r="D24" s="267"/>
      <c r="E24" s="267"/>
      <c r="F24" s="355"/>
      <c r="G24" s="105"/>
      <c r="H24" s="203"/>
      <c r="I24" s="105"/>
      <c r="J24" s="105"/>
      <c r="K24" s="112"/>
      <c r="L24" s="116">
        <f t="shared" si="12"/>
        <v>0</v>
      </c>
      <c r="M24" s="924">
        <f t="shared" si="5"/>
        <v>0</v>
      </c>
      <c r="N24" s="924">
        <f t="shared" si="13"/>
        <v>0</v>
      </c>
      <c r="O24" s="1008" t="str">
        <f t="shared" si="6"/>
        <v>-</v>
      </c>
      <c r="P24" s="924">
        <f t="shared" si="14"/>
        <v>0</v>
      </c>
      <c r="Q24" s="112"/>
      <c r="R24" s="924">
        <f t="shared" si="7"/>
        <v>0</v>
      </c>
      <c r="S24" s="924">
        <f t="shared" si="8"/>
        <v>0</v>
      </c>
      <c r="T24" s="924">
        <f t="shared" si="9"/>
        <v>0</v>
      </c>
      <c r="U24" s="924">
        <f t="shared" si="10"/>
        <v>0</v>
      </c>
      <c r="V24" s="924">
        <f t="shared" si="10"/>
        <v>0</v>
      </c>
      <c r="W24" s="924">
        <f t="shared" si="10"/>
        <v>0</v>
      </c>
      <c r="X24" s="924">
        <f t="shared" si="10"/>
        <v>0</v>
      </c>
      <c r="Y24" s="112"/>
      <c r="Z24" s="924">
        <f t="shared" si="15"/>
        <v>0</v>
      </c>
      <c r="AA24" s="924">
        <f t="shared" si="15"/>
        <v>0</v>
      </c>
      <c r="AB24" s="924">
        <f t="shared" si="15"/>
        <v>0</v>
      </c>
      <c r="AC24" s="924">
        <f t="shared" si="15"/>
        <v>0</v>
      </c>
      <c r="AD24" s="924">
        <f t="shared" si="15"/>
        <v>0</v>
      </c>
      <c r="AE24" s="1231">
        <f t="shared" si="15"/>
        <v>0</v>
      </c>
      <c r="AF24" s="1231">
        <f t="shared" si="15"/>
        <v>0</v>
      </c>
      <c r="AH24" s="65"/>
    </row>
    <row r="25" spans="2:42" x14ac:dyDescent="0.3">
      <c r="B25" s="61"/>
      <c r="C25" s="114"/>
      <c r="D25" s="267"/>
      <c r="E25" s="267"/>
      <c r="F25" s="355"/>
      <c r="G25" s="105"/>
      <c r="H25" s="203"/>
      <c r="I25" s="105"/>
      <c r="J25" s="105"/>
      <c r="K25" s="112"/>
      <c r="L25" s="116">
        <f t="shared" si="12"/>
        <v>0</v>
      </c>
      <c r="M25" s="924">
        <f t="shared" si="5"/>
        <v>0</v>
      </c>
      <c r="N25" s="924">
        <f t="shared" si="13"/>
        <v>0</v>
      </c>
      <c r="O25" s="1008" t="str">
        <f t="shared" si="6"/>
        <v>-</v>
      </c>
      <c r="P25" s="924">
        <f t="shared" si="14"/>
        <v>0</v>
      </c>
      <c r="Q25" s="112"/>
      <c r="R25" s="924">
        <f t="shared" si="7"/>
        <v>0</v>
      </c>
      <c r="S25" s="924">
        <f t="shared" si="8"/>
        <v>0</v>
      </c>
      <c r="T25" s="924">
        <f t="shared" si="9"/>
        <v>0</v>
      </c>
      <c r="U25" s="924">
        <f t="shared" si="10"/>
        <v>0</v>
      </c>
      <c r="V25" s="924">
        <f t="shared" si="10"/>
        <v>0</v>
      </c>
      <c r="W25" s="924">
        <f t="shared" si="10"/>
        <v>0</v>
      </c>
      <c r="X25" s="924">
        <f t="shared" si="10"/>
        <v>0</v>
      </c>
      <c r="Y25" s="112"/>
      <c r="Z25" s="924">
        <f t="shared" si="15"/>
        <v>0</v>
      </c>
      <c r="AA25" s="924">
        <f t="shared" si="15"/>
        <v>0</v>
      </c>
      <c r="AB25" s="924">
        <f t="shared" si="15"/>
        <v>0</v>
      </c>
      <c r="AC25" s="924">
        <f t="shared" si="15"/>
        <v>0</v>
      </c>
      <c r="AD25" s="924">
        <f t="shared" si="15"/>
        <v>0</v>
      </c>
      <c r="AE25" s="1231">
        <f t="shared" si="15"/>
        <v>0</v>
      </c>
      <c r="AF25" s="1231">
        <f t="shared" si="15"/>
        <v>0</v>
      </c>
      <c r="AH25" s="65"/>
    </row>
    <row r="26" spans="2:42" x14ac:dyDescent="0.3">
      <c r="B26" s="61"/>
      <c r="C26" s="114"/>
      <c r="D26" s="267"/>
      <c r="E26" s="267"/>
      <c r="F26" s="355"/>
      <c r="G26" s="105"/>
      <c r="H26" s="203"/>
      <c r="I26" s="105"/>
      <c r="J26" s="105"/>
      <c r="K26" s="112"/>
      <c r="L26" s="116">
        <f t="shared" si="12"/>
        <v>0</v>
      </c>
      <c r="M26" s="924">
        <f t="shared" si="5"/>
        <v>0</v>
      </c>
      <c r="N26" s="924">
        <f t="shared" si="13"/>
        <v>0</v>
      </c>
      <c r="O26" s="1008" t="str">
        <f t="shared" si="6"/>
        <v>-</v>
      </c>
      <c r="P26" s="924">
        <f t="shared" si="14"/>
        <v>0</v>
      </c>
      <c r="Q26" s="112"/>
      <c r="R26" s="924">
        <f t="shared" si="7"/>
        <v>0</v>
      </c>
      <c r="S26" s="924">
        <f t="shared" si="8"/>
        <v>0</v>
      </c>
      <c r="T26" s="924">
        <f t="shared" si="9"/>
        <v>0</v>
      </c>
      <c r="U26" s="924">
        <f t="shared" si="10"/>
        <v>0</v>
      </c>
      <c r="V26" s="924">
        <f t="shared" si="10"/>
        <v>0</v>
      </c>
      <c r="W26" s="924">
        <f t="shared" si="10"/>
        <v>0</v>
      </c>
      <c r="X26" s="924">
        <f t="shared" si="10"/>
        <v>0</v>
      </c>
      <c r="Y26" s="112"/>
      <c r="Z26" s="924">
        <f t="shared" si="15"/>
        <v>0</v>
      </c>
      <c r="AA26" s="924">
        <f t="shared" si="15"/>
        <v>0</v>
      </c>
      <c r="AB26" s="924">
        <f t="shared" si="15"/>
        <v>0</v>
      </c>
      <c r="AC26" s="924">
        <f t="shared" si="15"/>
        <v>0</v>
      </c>
      <c r="AD26" s="924">
        <f t="shared" si="15"/>
        <v>0</v>
      </c>
      <c r="AE26" s="1231">
        <f t="shared" si="15"/>
        <v>0</v>
      </c>
      <c r="AF26" s="1231">
        <f t="shared" si="15"/>
        <v>0</v>
      </c>
      <c r="AH26" s="65"/>
    </row>
    <row r="27" spans="2:42" x14ac:dyDescent="0.3">
      <c r="B27" s="61"/>
      <c r="C27" s="114"/>
      <c r="D27" s="267"/>
      <c r="E27" s="267"/>
      <c r="F27" s="355"/>
      <c r="G27" s="105"/>
      <c r="H27" s="203"/>
      <c r="I27" s="105"/>
      <c r="J27" s="105"/>
      <c r="K27" s="112"/>
      <c r="L27" s="116">
        <f t="shared" si="12"/>
        <v>0</v>
      </c>
      <c r="M27" s="924">
        <f t="shared" si="5"/>
        <v>0</v>
      </c>
      <c r="N27" s="924">
        <f t="shared" si="13"/>
        <v>0</v>
      </c>
      <c r="O27" s="1008" t="str">
        <f t="shared" si="6"/>
        <v>-</v>
      </c>
      <c r="P27" s="924">
        <f t="shared" si="14"/>
        <v>0</v>
      </c>
      <c r="Q27" s="112"/>
      <c r="R27" s="924">
        <f t="shared" si="7"/>
        <v>0</v>
      </c>
      <c r="S27" s="924">
        <f t="shared" si="8"/>
        <v>0</v>
      </c>
      <c r="T27" s="924">
        <f t="shared" si="9"/>
        <v>0</v>
      </c>
      <c r="U27" s="924">
        <f t="shared" si="10"/>
        <v>0</v>
      </c>
      <c r="V27" s="924">
        <f t="shared" si="10"/>
        <v>0</v>
      </c>
      <c r="W27" s="924">
        <f t="shared" si="10"/>
        <v>0</v>
      </c>
      <c r="X27" s="924">
        <f t="shared" si="10"/>
        <v>0</v>
      </c>
      <c r="Y27" s="112"/>
      <c r="Z27" s="924">
        <f t="shared" si="15"/>
        <v>0</v>
      </c>
      <c r="AA27" s="924">
        <f t="shared" si="15"/>
        <v>0</v>
      </c>
      <c r="AB27" s="924">
        <f t="shared" si="15"/>
        <v>0</v>
      </c>
      <c r="AC27" s="924">
        <f t="shared" si="15"/>
        <v>0</v>
      </c>
      <c r="AD27" s="924">
        <f t="shared" si="15"/>
        <v>0</v>
      </c>
      <c r="AE27" s="1231">
        <f t="shared" si="15"/>
        <v>0</v>
      </c>
      <c r="AF27" s="1231">
        <f t="shared" si="15"/>
        <v>0</v>
      </c>
      <c r="AH27" s="65"/>
    </row>
    <row r="28" spans="2:42" x14ac:dyDescent="0.3">
      <c r="B28" s="61"/>
      <c r="C28" s="114"/>
      <c r="D28" s="267"/>
      <c r="E28" s="267"/>
      <c r="F28" s="355"/>
      <c r="G28" s="105"/>
      <c r="H28" s="203"/>
      <c r="I28" s="105"/>
      <c r="J28" s="105"/>
      <c r="K28" s="112"/>
      <c r="L28" s="116">
        <f t="shared" si="12"/>
        <v>0</v>
      </c>
      <c r="M28" s="924">
        <f t="shared" si="5"/>
        <v>0</v>
      </c>
      <c r="N28" s="924">
        <f t="shared" si="13"/>
        <v>0</v>
      </c>
      <c r="O28" s="1008" t="str">
        <f t="shared" si="6"/>
        <v>-</v>
      </c>
      <c r="P28" s="924">
        <f t="shared" si="14"/>
        <v>0</v>
      </c>
      <c r="Q28" s="112"/>
      <c r="R28" s="924">
        <f t="shared" si="7"/>
        <v>0</v>
      </c>
      <c r="S28" s="924">
        <f t="shared" si="8"/>
        <v>0</v>
      </c>
      <c r="T28" s="924">
        <f t="shared" si="9"/>
        <v>0</v>
      </c>
      <c r="U28" s="924">
        <f t="shared" si="10"/>
        <v>0</v>
      </c>
      <c r="V28" s="924">
        <f t="shared" si="10"/>
        <v>0</v>
      </c>
      <c r="W28" s="924">
        <f t="shared" si="10"/>
        <v>0</v>
      </c>
      <c r="X28" s="924">
        <f t="shared" si="10"/>
        <v>0</v>
      </c>
      <c r="Y28" s="112"/>
      <c r="Z28" s="924">
        <f t="shared" si="15"/>
        <v>0</v>
      </c>
      <c r="AA28" s="924">
        <f t="shared" si="15"/>
        <v>0</v>
      </c>
      <c r="AB28" s="924">
        <f t="shared" si="15"/>
        <v>0</v>
      </c>
      <c r="AC28" s="924">
        <f t="shared" si="15"/>
        <v>0</v>
      </c>
      <c r="AD28" s="924">
        <f t="shared" si="15"/>
        <v>0</v>
      </c>
      <c r="AE28" s="1231">
        <f t="shared" si="15"/>
        <v>0</v>
      </c>
      <c r="AF28" s="1231">
        <f t="shared" si="15"/>
        <v>0</v>
      </c>
      <c r="AH28" s="65"/>
    </row>
    <row r="29" spans="2:42" x14ac:dyDescent="0.3">
      <c r="B29" s="61"/>
      <c r="C29" s="114"/>
      <c r="D29" s="267"/>
      <c r="E29" s="267"/>
      <c r="F29" s="355"/>
      <c r="G29" s="105"/>
      <c r="H29" s="203"/>
      <c r="I29" s="105"/>
      <c r="J29" s="105"/>
      <c r="K29" s="112"/>
      <c r="L29" s="116">
        <f t="shared" si="12"/>
        <v>0</v>
      </c>
      <c r="M29" s="924">
        <f t="shared" si="5"/>
        <v>0</v>
      </c>
      <c r="N29" s="924">
        <f t="shared" si="13"/>
        <v>0</v>
      </c>
      <c r="O29" s="1008" t="str">
        <f t="shared" si="6"/>
        <v>-</v>
      </c>
      <c r="P29" s="924">
        <f t="shared" si="14"/>
        <v>0</v>
      </c>
      <c r="Q29" s="112"/>
      <c r="R29" s="924">
        <f t="shared" si="7"/>
        <v>0</v>
      </c>
      <c r="S29" s="924">
        <f t="shared" si="8"/>
        <v>0</v>
      </c>
      <c r="T29" s="924">
        <f t="shared" si="9"/>
        <v>0</v>
      </c>
      <c r="U29" s="924">
        <f t="shared" si="10"/>
        <v>0</v>
      </c>
      <c r="V29" s="924">
        <f t="shared" si="10"/>
        <v>0</v>
      </c>
      <c r="W29" s="924">
        <f t="shared" si="10"/>
        <v>0</v>
      </c>
      <c r="X29" s="924">
        <f t="shared" si="10"/>
        <v>0</v>
      </c>
      <c r="Y29" s="112"/>
      <c r="Z29" s="924">
        <f t="shared" si="15"/>
        <v>0</v>
      </c>
      <c r="AA29" s="924">
        <f t="shared" si="15"/>
        <v>0</v>
      </c>
      <c r="AB29" s="924">
        <f t="shared" si="15"/>
        <v>0</v>
      </c>
      <c r="AC29" s="924">
        <f t="shared" si="15"/>
        <v>0</v>
      </c>
      <c r="AD29" s="924">
        <f t="shared" si="15"/>
        <v>0</v>
      </c>
      <c r="AE29" s="1231">
        <f t="shared" si="15"/>
        <v>0</v>
      </c>
      <c r="AF29" s="1231">
        <f t="shared" si="15"/>
        <v>0</v>
      </c>
      <c r="AH29" s="65"/>
    </row>
    <row r="30" spans="2:42" x14ac:dyDescent="0.3">
      <c r="B30" s="61"/>
      <c r="C30" s="114"/>
      <c r="D30" s="267"/>
      <c r="E30" s="267"/>
      <c r="F30" s="355"/>
      <c r="G30" s="105"/>
      <c r="H30" s="203"/>
      <c r="I30" s="105"/>
      <c r="J30" s="105"/>
      <c r="K30" s="112"/>
      <c r="L30" s="116">
        <f t="shared" si="12"/>
        <v>0</v>
      </c>
      <c r="M30" s="924">
        <f t="shared" si="5"/>
        <v>0</v>
      </c>
      <c r="N30" s="924">
        <f t="shared" si="13"/>
        <v>0</v>
      </c>
      <c r="O30" s="1008" t="str">
        <f t="shared" si="6"/>
        <v>-</v>
      </c>
      <c r="P30" s="924">
        <f t="shared" si="14"/>
        <v>0</v>
      </c>
      <c r="Q30" s="112"/>
      <c r="R30" s="924">
        <f t="shared" si="7"/>
        <v>0</v>
      </c>
      <c r="S30" s="924">
        <f t="shared" si="8"/>
        <v>0</v>
      </c>
      <c r="T30" s="924">
        <f t="shared" si="9"/>
        <v>0</v>
      </c>
      <c r="U30" s="924">
        <f t="shared" si="10"/>
        <v>0</v>
      </c>
      <c r="V30" s="924">
        <f t="shared" si="10"/>
        <v>0</v>
      </c>
      <c r="W30" s="924">
        <f t="shared" si="10"/>
        <v>0</v>
      </c>
      <c r="X30" s="924">
        <f t="shared" si="10"/>
        <v>0</v>
      </c>
      <c r="Y30" s="112"/>
      <c r="Z30" s="924">
        <f t="shared" si="15"/>
        <v>0</v>
      </c>
      <c r="AA30" s="924">
        <f t="shared" si="15"/>
        <v>0</v>
      </c>
      <c r="AB30" s="924">
        <f t="shared" si="15"/>
        <v>0</v>
      </c>
      <c r="AC30" s="924">
        <f t="shared" si="15"/>
        <v>0</v>
      </c>
      <c r="AD30" s="924">
        <f t="shared" si="15"/>
        <v>0</v>
      </c>
      <c r="AE30" s="1231">
        <f t="shared" si="15"/>
        <v>0</v>
      </c>
      <c r="AF30" s="1231">
        <f t="shared" si="15"/>
        <v>0</v>
      </c>
      <c r="AH30" s="65"/>
    </row>
    <row r="31" spans="2:42" x14ac:dyDescent="0.3">
      <c r="B31" s="61"/>
      <c r="C31" s="114"/>
      <c r="D31" s="267"/>
      <c r="E31" s="267"/>
      <c r="F31" s="355"/>
      <c r="G31" s="105"/>
      <c r="H31" s="203"/>
      <c r="I31" s="105"/>
      <c r="J31" s="105"/>
      <c r="K31" s="112"/>
      <c r="L31" s="116">
        <f t="shared" si="12"/>
        <v>0</v>
      </c>
      <c r="M31" s="924">
        <f t="shared" si="5"/>
        <v>0</v>
      </c>
      <c r="N31" s="924">
        <f t="shared" si="13"/>
        <v>0</v>
      </c>
      <c r="O31" s="1008" t="str">
        <f t="shared" si="6"/>
        <v>-</v>
      </c>
      <c r="P31" s="924">
        <f t="shared" si="14"/>
        <v>0</v>
      </c>
      <c r="Q31" s="112"/>
      <c r="R31" s="924">
        <f t="shared" si="7"/>
        <v>0</v>
      </c>
      <c r="S31" s="924">
        <f t="shared" si="8"/>
        <v>0</v>
      </c>
      <c r="T31" s="924">
        <f t="shared" si="9"/>
        <v>0</v>
      </c>
      <c r="U31" s="924">
        <f t="shared" si="10"/>
        <v>0</v>
      </c>
      <c r="V31" s="924">
        <f t="shared" si="10"/>
        <v>0</v>
      </c>
      <c r="W31" s="924">
        <f t="shared" si="10"/>
        <v>0</v>
      </c>
      <c r="X31" s="924">
        <f t="shared" si="10"/>
        <v>0</v>
      </c>
      <c r="Y31" s="112"/>
      <c r="Z31" s="924">
        <f t="shared" si="15"/>
        <v>0</v>
      </c>
      <c r="AA31" s="924">
        <f t="shared" si="15"/>
        <v>0</v>
      </c>
      <c r="AB31" s="924">
        <f t="shared" si="15"/>
        <v>0</v>
      </c>
      <c r="AC31" s="924">
        <f t="shared" si="15"/>
        <v>0</v>
      </c>
      <c r="AD31" s="924">
        <f t="shared" si="15"/>
        <v>0</v>
      </c>
      <c r="AE31" s="1231">
        <f t="shared" si="15"/>
        <v>0</v>
      </c>
      <c r="AF31" s="1231">
        <f t="shared" si="15"/>
        <v>0</v>
      </c>
      <c r="AH31" s="65"/>
    </row>
    <row r="32" spans="2:42" x14ac:dyDescent="0.3">
      <c r="B32" s="61"/>
      <c r="C32" s="114"/>
      <c r="D32" s="267"/>
      <c r="E32" s="267"/>
      <c r="F32" s="355"/>
      <c r="G32" s="105"/>
      <c r="H32" s="203"/>
      <c r="I32" s="105"/>
      <c r="J32" s="105"/>
      <c r="K32" s="112"/>
      <c r="L32" s="116">
        <f t="shared" si="12"/>
        <v>0</v>
      </c>
      <c r="M32" s="924">
        <f t="shared" si="5"/>
        <v>0</v>
      </c>
      <c r="N32" s="924">
        <f t="shared" si="13"/>
        <v>0</v>
      </c>
      <c r="O32" s="1008" t="str">
        <f t="shared" si="6"/>
        <v>-</v>
      </c>
      <c r="P32" s="924">
        <f t="shared" si="14"/>
        <v>0</v>
      </c>
      <c r="Q32" s="112"/>
      <c r="R32" s="924">
        <f t="shared" si="7"/>
        <v>0</v>
      </c>
      <c r="S32" s="924">
        <f t="shared" si="8"/>
        <v>0</v>
      </c>
      <c r="T32" s="924">
        <f t="shared" si="9"/>
        <v>0</v>
      </c>
      <c r="U32" s="924">
        <f t="shared" si="10"/>
        <v>0</v>
      </c>
      <c r="V32" s="924">
        <f t="shared" si="10"/>
        <v>0</v>
      </c>
      <c r="W32" s="924">
        <f t="shared" si="10"/>
        <v>0</v>
      </c>
      <c r="X32" s="924">
        <f t="shared" si="10"/>
        <v>0</v>
      </c>
      <c r="Y32" s="112"/>
      <c r="Z32" s="924">
        <f t="shared" si="15"/>
        <v>0</v>
      </c>
      <c r="AA32" s="924">
        <f t="shared" si="15"/>
        <v>0</v>
      </c>
      <c r="AB32" s="924">
        <f t="shared" si="15"/>
        <v>0</v>
      </c>
      <c r="AC32" s="924">
        <f t="shared" si="15"/>
        <v>0</v>
      </c>
      <c r="AD32" s="924">
        <f t="shared" si="15"/>
        <v>0</v>
      </c>
      <c r="AE32" s="1231">
        <f t="shared" si="15"/>
        <v>0</v>
      </c>
      <c r="AF32" s="1231">
        <f t="shared" si="15"/>
        <v>0</v>
      </c>
      <c r="AH32" s="65"/>
    </row>
    <row r="33" spans="2:34" x14ac:dyDescent="0.3">
      <c r="B33" s="61"/>
      <c r="C33" s="114"/>
      <c r="D33" s="267"/>
      <c r="E33" s="267"/>
      <c r="F33" s="355"/>
      <c r="G33" s="105"/>
      <c r="H33" s="203"/>
      <c r="I33" s="105"/>
      <c r="J33" s="105"/>
      <c r="K33" s="112"/>
      <c r="L33" s="116">
        <f t="shared" si="12"/>
        <v>0</v>
      </c>
      <c r="M33" s="924">
        <f t="shared" si="5"/>
        <v>0</v>
      </c>
      <c r="N33" s="924">
        <f t="shared" si="13"/>
        <v>0</v>
      </c>
      <c r="O33" s="1008" t="str">
        <f t="shared" si="6"/>
        <v>-</v>
      </c>
      <c r="P33" s="924">
        <f t="shared" si="14"/>
        <v>0</v>
      </c>
      <c r="Q33" s="112"/>
      <c r="R33" s="924">
        <f t="shared" si="7"/>
        <v>0</v>
      </c>
      <c r="S33" s="924">
        <f t="shared" si="8"/>
        <v>0</v>
      </c>
      <c r="T33" s="924">
        <f t="shared" si="9"/>
        <v>0</v>
      </c>
      <c r="U33" s="924">
        <f t="shared" ref="U33:X52" si="16">(IF(U$7&lt;$I33,0,IF($O33&lt;=U$7-1,0,$N33)))</f>
        <v>0</v>
      </c>
      <c r="V33" s="924">
        <f t="shared" si="16"/>
        <v>0</v>
      </c>
      <c r="W33" s="924">
        <f t="shared" si="16"/>
        <v>0</v>
      </c>
      <c r="X33" s="924">
        <f t="shared" si="16"/>
        <v>0</v>
      </c>
      <c r="Y33" s="112"/>
      <c r="Z33" s="924">
        <f t="shared" ref="Z33:AF42" si="17">IF(Z$7=$I33,($G33*$H33),0)</f>
        <v>0</v>
      </c>
      <c r="AA33" s="924">
        <f t="shared" si="17"/>
        <v>0</v>
      </c>
      <c r="AB33" s="924">
        <f t="shared" si="17"/>
        <v>0</v>
      </c>
      <c r="AC33" s="924">
        <f t="shared" si="17"/>
        <v>0</v>
      </c>
      <c r="AD33" s="924">
        <f t="shared" si="17"/>
        <v>0</v>
      </c>
      <c r="AE33" s="1231">
        <f t="shared" si="17"/>
        <v>0</v>
      </c>
      <c r="AF33" s="1231">
        <f t="shared" si="17"/>
        <v>0</v>
      </c>
      <c r="AH33" s="65"/>
    </row>
    <row r="34" spans="2:34" x14ac:dyDescent="0.3">
      <c r="B34" s="61"/>
      <c r="C34" s="114"/>
      <c r="D34" s="267"/>
      <c r="E34" s="267"/>
      <c r="F34" s="355"/>
      <c r="G34" s="105"/>
      <c r="H34" s="203"/>
      <c r="I34" s="105"/>
      <c r="J34" s="105"/>
      <c r="K34" s="112"/>
      <c r="L34" s="116">
        <f t="shared" si="12"/>
        <v>0</v>
      </c>
      <c r="M34" s="924">
        <f t="shared" si="5"/>
        <v>0</v>
      </c>
      <c r="N34" s="924">
        <f t="shared" si="13"/>
        <v>0</v>
      </c>
      <c r="O34" s="1008" t="str">
        <f t="shared" si="6"/>
        <v>-</v>
      </c>
      <c r="P34" s="924">
        <f t="shared" si="14"/>
        <v>0</v>
      </c>
      <c r="Q34" s="112"/>
      <c r="R34" s="924">
        <f t="shared" si="7"/>
        <v>0</v>
      </c>
      <c r="S34" s="924">
        <f t="shared" si="8"/>
        <v>0</v>
      </c>
      <c r="T34" s="924">
        <f t="shared" si="9"/>
        <v>0</v>
      </c>
      <c r="U34" s="924">
        <f t="shared" si="16"/>
        <v>0</v>
      </c>
      <c r="V34" s="924">
        <f t="shared" si="16"/>
        <v>0</v>
      </c>
      <c r="W34" s="924">
        <f t="shared" si="16"/>
        <v>0</v>
      </c>
      <c r="X34" s="924">
        <f t="shared" si="16"/>
        <v>0</v>
      </c>
      <c r="Y34" s="112"/>
      <c r="Z34" s="924">
        <f t="shared" si="17"/>
        <v>0</v>
      </c>
      <c r="AA34" s="924">
        <f t="shared" si="17"/>
        <v>0</v>
      </c>
      <c r="AB34" s="924">
        <f t="shared" si="17"/>
        <v>0</v>
      </c>
      <c r="AC34" s="924">
        <f t="shared" si="17"/>
        <v>0</v>
      </c>
      <c r="AD34" s="924">
        <f t="shared" si="17"/>
        <v>0</v>
      </c>
      <c r="AE34" s="1231">
        <f t="shared" si="17"/>
        <v>0</v>
      </c>
      <c r="AF34" s="1231">
        <f t="shared" si="17"/>
        <v>0</v>
      </c>
      <c r="AH34" s="65"/>
    </row>
    <row r="35" spans="2:34" x14ac:dyDescent="0.3">
      <c r="B35" s="61"/>
      <c r="C35" s="114"/>
      <c r="D35" s="267"/>
      <c r="E35" s="267"/>
      <c r="F35" s="355"/>
      <c r="G35" s="105"/>
      <c r="H35" s="203"/>
      <c r="I35" s="105"/>
      <c r="J35" s="105"/>
      <c r="K35" s="112"/>
      <c r="L35" s="116">
        <f t="shared" si="12"/>
        <v>0</v>
      </c>
      <c r="M35" s="924">
        <f t="shared" si="5"/>
        <v>0</v>
      </c>
      <c r="N35" s="924">
        <f t="shared" si="13"/>
        <v>0</v>
      </c>
      <c r="O35" s="1008" t="str">
        <f t="shared" si="6"/>
        <v>-</v>
      </c>
      <c r="P35" s="924">
        <f t="shared" si="14"/>
        <v>0</v>
      </c>
      <c r="Q35" s="112"/>
      <c r="R35" s="924">
        <f t="shared" si="7"/>
        <v>0</v>
      </c>
      <c r="S35" s="924">
        <f t="shared" si="8"/>
        <v>0</v>
      </c>
      <c r="T35" s="924">
        <f t="shared" si="9"/>
        <v>0</v>
      </c>
      <c r="U35" s="924">
        <f t="shared" si="16"/>
        <v>0</v>
      </c>
      <c r="V35" s="924">
        <f t="shared" si="16"/>
        <v>0</v>
      </c>
      <c r="W35" s="924">
        <f t="shared" si="16"/>
        <v>0</v>
      </c>
      <c r="X35" s="924">
        <f t="shared" si="16"/>
        <v>0</v>
      </c>
      <c r="Y35" s="112"/>
      <c r="Z35" s="924">
        <f t="shared" si="17"/>
        <v>0</v>
      </c>
      <c r="AA35" s="924">
        <f t="shared" si="17"/>
        <v>0</v>
      </c>
      <c r="AB35" s="924">
        <f t="shared" si="17"/>
        <v>0</v>
      </c>
      <c r="AC35" s="924">
        <f t="shared" si="17"/>
        <v>0</v>
      </c>
      <c r="AD35" s="924">
        <f t="shared" si="17"/>
        <v>0</v>
      </c>
      <c r="AE35" s="1231">
        <f t="shared" si="17"/>
        <v>0</v>
      </c>
      <c r="AF35" s="1231">
        <f t="shared" si="17"/>
        <v>0</v>
      </c>
      <c r="AH35" s="65"/>
    </row>
    <row r="36" spans="2:34" x14ac:dyDescent="0.3">
      <c r="B36" s="61"/>
      <c r="C36" s="114"/>
      <c r="D36" s="267"/>
      <c r="E36" s="267"/>
      <c r="F36" s="355"/>
      <c r="G36" s="105"/>
      <c r="H36" s="203"/>
      <c r="I36" s="105"/>
      <c r="J36" s="105"/>
      <c r="K36" s="112"/>
      <c r="L36" s="116">
        <f t="shared" si="12"/>
        <v>0</v>
      </c>
      <c r="M36" s="924">
        <f t="shared" si="5"/>
        <v>0</v>
      </c>
      <c r="N36" s="924">
        <f t="shared" si="13"/>
        <v>0</v>
      </c>
      <c r="O36" s="1008" t="str">
        <f t="shared" si="6"/>
        <v>-</v>
      </c>
      <c r="P36" s="924">
        <f t="shared" si="14"/>
        <v>0</v>
      </c>
      <c r="Q36" s="112"/>
      <c r="R36" s="924">
        <f t="shared" si="7"/>
        <v>0</v>
      </c>
      <c r="S36" s="924">
        <f t="shared" si="8"/>
        <v>0</v>
      </c>
      <c r="T36" s="924">
        <f t="shared" si="9"/>
        <v>0</v>
      </c>
      <c r="U36" s="924">
        <f t="shared" si="16"/>
        <v>0</v>
      </c>
      <c r="V36" s="924">
        <f t="shared" si="16"/>
        <v>0</v>
      </c>
      <c r="W36" s="924">
        <f t="shared" si="16"/>
        <v>0</v>
      </c>
      <c r="X36" s="924">
        <f t="shared" si="16"/>
        <v>0</v>
      </c>
      <c r="Y36" s="112"/>
      <c r="Z36" s="924">
        <f t="shared" si="17"/>
        <v>0</v>
      </c>
      <c r="AA36" s="924">
        <f t="shared" si="17"/>
        <v>0</v>
      </c>
      <c r="AB36" s="924">
        <f t="shared" si="17"/>
        <v>0</v>
      </c>
      <c r="AC36" s="924">
        <f t="shared" si="17"/>
        <v>0</v>
      </c>
      <c r="AD36" s="924">
        <f t="shared" si="17"/>
        <v>0</v>
      </c>
      <c r="AE36" s="1231">
        <f t="shared" si="17"/>
        <v>0</v>
      </c>
      <c r="AF36" s="1231">
        <f t="shared" si="17"/>
        <v>0</v>
      </c>
      <c r="AH36" s="65"/>
    </row>
    <row r="37" spans="2:34" x14ac:dyDescent="0.3">
      <c r="B37" s="61"/>
      <c r="C37" s="114"/>
      <c r="D37" s="267"/>
      <c r="E37" s="267"/>
      <c r="F37" s="355"/>
      <c r="G37" s="105"/>
      <c r="H37" s="203"/>
      <c r="I37" s="105"/>
      <c r="J37" s="105"/>
      <c r="K37" s="112"/>
      <c r="L37" s="116">
        <f t="shared" si="12"/>
        <v>0</v>
      </c>
      <c r="M37" s="924">
        <f t="shared" si="5"/>
        <v>0</v>
      </c>
      <c r="N37" s="924">
        <f t="shared" si="13"/>
        <v>0</v>
      </c>
      <c r="O37" s="1008" t="str">
        <f t="shared" si="6"/>
        <v>-</v>
      </c>
      <c r="P37" s="924">
        <f t="shared" si="14"/>
        <v>0</v>
      </c>
      <c r="Q37" s="112"/>
      <c r="R37" s="924">
        <f t="shared" si="7"/>
        <v>0</v>
      </c>
      <c r="S37" s="924">
        <f t="shared" si="8"/>
        <v>0</v>
      </c>
      <c r="T37" s="924">
        <f t="shared" si="9"/>
        <v>0</v>
      </c>
      <c r="U37" s="924">
        <f t="shared" si="16"/>
        <v>0</v>
      </c>
      <c r="V37" s="924">
        <f t="shared" si="16"/>
        <v>0</v>
      </c>
      <c r="W37" s="924">
        <f t="shared" si="16"/>
        <v>0</v>
      </c>
      <c r="X37" s="924">
        <f t="shared" si="16"/>
        <v>0</v>
      </c>
      <c r="Y37" s="112"/>
      <c r="Z37" s="924">
        <f t="shared" si="17"/>
        <v>0</v>
      </c>
      <c r="AA37" s="924">
        <f t="shared" si="17"/>
        <v>0</v>
      </c>
      <c r="AB37" s="924">
        <f t="shared" si="17"/>
        <v>0</v>
      </c>
      <c r="AC37" s="924">
        <f t="shared" si="17"/>
        <v>0</v>
      </c>
      <c r="AD37" s="924">
        <f t="shared" si="17"/>
        <v>0</v>
      </c>
      <c r="AE37" s="1231">
        <f t="shared" si="17"/>
        <v>0</v>
      </c>
      <c r="AF37" s="1231">
        <f t="shared" si="17"/>
        <v>0</v>
      </c>
      <c r="AH37" s="65"/>
    </row>
    <row r="38" spans="2:34" x14ac:dyDescent="0.3">
      <c r="B38" s="61"/>
      <c r="C38" s="114"/>
      <c r="D38" s="267"/>
      <c r="E38" s="267"/>
      <c r="F38" s="355"/>
      <c r="G38" s="105"/>
      <c r="H38" s="203"/>
      <c r="I38" s="105"/>
      <c r="J38" s="105"/>
      <c r="K38" s="112"/>
      <c r="L38" s="116">
        <f t="shared" si="12"/>
        <v>0</v>
      </c>
      <c r="M38" s="924">
        <f t="shared" si="5"/>
        <v>0</v>
      </c>
      <c r="N38" s="924">
        <f t="shared" si="13"/>
        <v>0</v>
      </c>
      <c r="O38" s="1008" t="str">
        <f t="shared" si="6"/>
        <v>-</v>
      </c>
      <c r="P38" s="924">
        <f t="shared" si="14"/>
        <v>0</v>
      </c>
      <c r="Q38" s="112"/>
      <c r="R38" s="924">
        <f t="shared" si="7"/>
        <v>0</v>
      </c>
      <c r="S38" s="924">
        <f t="shared" si="8"/>
        <v>0</v>
      </c>
      <c r="T38" s="924">
        <f t="shared" si="9"/>
        <v>0</v>
      </c>
      <c r="U38" s="924">
        <f t="shared" si="16"/>
        <v>0</v>
      </c>
      <c r="V38" s="924">
        <f t="shared" si="16"/>
        <v>0</v>
      </c>
      <c r="W38" s="924">
        <f t="shared" si="16"/>
        <v>0</v>
      </c>
      <c r="X38" s="924">
        <f t="shared" si="16"/>
        <v>0</v>
      </c>
      <c r="Y38" s="112"/>
      <c r="Z38" s="924">
        <f t="shared" si="17"/>
        <v>0</v>
      </c>
      <c r="AA38" s="924">
        <f t="shared" si="17"/>
        <v>0</v>
      </c>
      <c r="AB38" s="924">
        <f t="shared" si="17"/>
        <v>0</v>
      </c>
      <c r="AC38" s="924">
        <f t="shared" si="17"/>
        <v>0</v>
      </c>
      <c r="AD38" s="924">
        <f t="shared" si="17"/>
        <v>0</v>
      </c>
      <c r="AE38" s="1231">
        <f t="shared" si="17"/>
        <v>0</v>
      </c>
      <c r="AF38" s="1231">
        <f t="shared" si="17"/>
        <v>0</v>
      </c>
      <c r="AH38" s="65"/>
    </row>
    <row r="39" spans="2:34" x14ac:dyDescent="0.3">
      <c r="B39" s="61"/>
      <c r="C39" s="114"/>
      <c r="D39" s="267"/>
      <c r="E39" s="267"/>
      <c r="F39" s="355"/>
      <c r="G39" s="105"/>
      <c r="H39" s="203"/>
      <c r="I39" s="105"/>
      <c r="J39" s="105"/>
      <c r="K39" s="112"/>
      <c r="L39" s="116">
        <f t="shared" si="12"/>
        <v>0</v>
      </c>
      <c r="M39" s="924">
        <f t="shared" si="5"/>
        <v>0</v>
      </c>
      <c r="N39" s="924">
        <f t="shared" si="13"/>
        <v>0</v>
      </c>
      <c r="O39" s="1008" t="str">
        <f t="shared" si="6"/>
        <v>-</v>
      </c>
      <c r="P39" s="924">
        <f t="shared" si="14"/>
        <v>0</v>
      </c>
      <c r="Q39" s="112"/>
      <c r="R39" s="924">
        <f t="shared" si="7"/>
        <v>0</v>
      </c>
      <c r="S39" s="924">
        <f t="shared" si="8"/>
        <v>0</v>
      </c>
      <c r="T39" s="924">
        <f t="shared" si="9"/>
        <v>0</v>
      </c>
      <c r="U39" s="924">
        <f t="shared" si="16"/>
        <v>0</v>
      </c>
      <c r="V39" s="924">
        <f t="shared" si="16"/>
        <v>0</v>
      </c>
      <c r="W39" s="924">
        <f t="shared" si="16"/>
        <v>0</v>
      </c>
      <c r="X39" s="924">
        <f t="shared" si="16"/>
        <v>0</v>
      </c>
      <c r="Y39" s="112"/>
      <c r="Z39" s="924">
        <f t="shared" si="17"/>
        <v>0</v>
      </c>
      <c r="AA39" s="924">
        <f t="shared" si="17"/>
        <v>0</v>
      </c>
      <c r="AB39" s="924">
        <f t="shared" si="17"/>
        <v>0</v>
      </c>
      <c r="AC39" s="924">
        <f t="shared" si="17"/>
        <v>0</v>
      </c>
      <c r="AD39" s="924">
        <f t="shared" si="17"/>
        <v>0</v>
      </c>
      <c r="AE39" s="1231">
        <f t="shared" si="17"/>
        <v>0</v>
      </c>
      <c r="AF39" s="1231">
        <f t="shared" si="17"/>
        <v>0</v>
      </c>
      <c r="AH39" s="65"/>
    </row>
    <row r="40" spans="2:34" x14ac:dyDescent="0.3">
      <c r="B40" s="61"/>
      <c r="C40" s="114"/>
      <c r="D40" s="267"/>
      <c r="E40" s="267"/>
      <c r="F40" s="355"/>
      <c r="G40" s="105"/>
      <c r="H40" s="203"/>
      <c r="I40" s="105"/>
      <c r="J40" s="105"/>
      <c r="K40" s="112"/>
      <c r="L40" s="116">
        <f t="shared" si="12"/>
        <v>0</v>
      </c>
      <c r="M40" s="924">
        <f t="shared" si="5"/>
        <v>0</v>
      </c>
      <c r="N40" s="924">
        <f t="shared" si="13"/>
        <v>0</v>
      </c>
      <c r="O40" s="1008" t="str">
        <f t="shared" si="6"/>
        <v>-</v>
      </c>
      <c r="P40" s="924">
        <f t="shared" si="14"/>
        <v>0</v>
      </c>
      <c r="Q40" s="112"/>
      <c r="R40" s="924">
        <f t="shared" si="7"/>
        <v>0</v>
      </c>
      <c r="S40" s="924">
        <f t="shared" si="8"/>
        <v>0</v>
      </c>
      <c r="T40" s="924">
        <f t="shared" si="9"/>
        <v>0</v>
      </c>
      <c r="U40" s="924">
        <f t="shared" si="16"/>
        <v>0</v>
      </c>
      <c r="V40" s="924">
        <f t="shared" si="16"/>
        <v>0</v>
      </c>
      <c r="W40" s="924">
        <f t="shared" si="16"/>
        <v>0</v>
      </c>
      <c r="X40" s="924">
        <f t="shared" si="16"/>
        <v>0</v>
      </c>
      <c r="Y40" s="112"/>
      <c r="Z40" s="924">
        <f t="shared" si="17"/>
        <v>0</v>
      </c>
      <c r="AA40" s="924">
        <f t="shared" si="17"/>
        <v>0</v>
      </c>
      <c r="AB40" s="924">
        <f t="shared" si="17"/>
        <v>0</v>
      </c>
      <c r="AC40" s="924">
        <f t="shared" si="17"/>
        <v>0</v>
      </c>
      <c r="AD40" s="924">
        <f t="shared" si="17"/>
        <v>0</v>
      </c>
      <c r="AE40" s="1231">
        <f t="shared" si="17"/>
        <v>0</v>
      </c>
      <c r="AF40" s="1231">
        <f t="shared" si="17"/>
        <v>0</v>
      </c>
      <c r="AH40" s="65"/>
    </row>
    <row r="41" spans="2:34" x14ac:dyDescent="0.3">
      <c r="B41" s="61"/>
      <c r="C41" s="114"/>
      <c r="D41" s="267"/>
      <c r="E41" s="267"/>
      <c r="F41" s="355"/>
      <c r="G41" s="105"/>
      <c r="H41" s="203"/>
      <c r="I41" s="105"/>
      <c r="J41" s="105"/>
      <c r="K41" s="112"/>
      <c r="L41" s="116">
        <f t="shared" si="12"/>
        <v>0</v>
      </c>
      <c r="M41" s="924">
        <f t="shared" si="5"/>
        <v>0</v>
      </c>
      <c r="N41" s="924">
        <f t="shared" si="13"/>
        <v>0</v>
      </c>
      <c r="O41" s="1008" t="str">
        <f t="shared" si="6"/>
        <v>-</v>
      </c>
      <c r="P41" s="924">
        <f t="shared" si="14"/>
        <v>0</v>
      </c>
      <c r="Q41" s="112"/>
      <c r="R41" s="924">
        <f t="shared" si="7"/>
        <v>0</v>
      </c>
      <c r="S41" s="924">
        <f t="shared" si="8"/>
        <v>0</v>
      </c>
      <c r="T41" s="924">
        <f t="shared" si="9"/>
        <v>0</v>
      </c>
      <c r="U41" s="924">
        <f t="shared" si="16"/>
        <v>0</v>
      </c>
      <c r="V41" s="924">
        <f t="shared" si="16"/>
        <v>0</v>
      </c>
      <c r="W41" s="924">
        <f t="shared" si="16"/>
        <v>0</v>
      </c>
      <c r="X41" s="924">
        <f t="shared" si="16"/>
        <v>0</v>
      </c>
      <c r="Y41" s="112"/>
      <c r="Z41" s="924">
        <f t="shared" si="17"/>
        <v>0</v>
      </c>
      <c r="AA41" s="924">
        <f t="shared" si="17"/>
        <v>0</v>
      </c>
      <c r="AB41" s="924">
        <f t="shared" si="17"/>
        <v>0</v>
      </c>
      <c r="AC41" s="924">
        <f t="shared" si="17"/>
        <v>0</v>
      </c>
      <c r="AD41" s="924">
        <f t="shared" si="17"/>
        <v>0</v>
      </c>
      <c r="AE41" s="1231">
        <f t="shared" si="17"/>
        <v>0</v>
      </c>
      <c r="AF41" s="1231">
        <f t="shared" si="17"/>
        <v>0</v>
      </c>
      <c r="AH41" s="65"/>
    </row>
    <row r="42" spans="2:34" x14ac:dyDescent="0.3">
      <c r="B42" s="61"/>
      <c r="C42" s="114"/>
      <c r="D42" s="267"/>
      <c r="E42" s="267"/>
      <c r="F42" s="355"/>
      <c r="G42" s="105"/>
      <c r="H42" s="203"/>
      <c r="I42" s="105"/>
      <c r="J42" s="105"/>
      <c r="K42" s="112"/>
      <c r="L42" s="116">
        <f t="shared" si="12"/>
        <v>0</v>
      </c>
      <c r="M42" s="924">
        <f t="shared" si="5"/>
        <v>0</v>
      </c>
      <c r="N42" s="924">
        <f t="shared" si="13"/>
        <v>0</v>
      </c>
      <c r="O42" s="1008" t="str">
        <f t="shared" si="6"/>
        <v>-</v>
      </c>
      <c r="P42" s="924">
        <f t="shared" si="14"/>
        <v>0</v>
      </c>
      <c r="Q42" s="112"/>
      <c r="R42" s="924">
        <f t="shared" si="7"/>
        <v>0</v>
      </c>
      <c r="S42" s="924">
        <f t="shared" si="8"/>
        <v>0</v>
      </c>
      <c r="T42" s="924">
        <f t="shared" si="9"/>
        <v>0</v>
      </c>
      <c r="U42" s="924">
        <f t="shared" si="16"/>
        <v>0</v>
      </c>
      <c r="V42" s="924">
        <f t="shared" si="16"/>
        <v>0</v>
      </c>
      <c r="W42" s="924">
        <f t="shared" si="16"/>
        <v>0</v>
      </c>
      <c r="X42" s="924">
        <f t="shared" si="16"/>
        <v>0</v>
      </c>
      <c r="Y42" s="112"/>
      <c r="Z42" s="924">
        <f t="shared" si="17"/>
        <v>0</v>
      </c>
      <c r="AA42" s="924">
        <f t="shared" si="17"/>
        <v>0</v>
      </c>
      <c r="AB42" s="924">
        <f t="shared" si="17"/>
        <v>0</v>
      </c>
      <c r="AC42" s="924">
        <f t="shared" si="17"/>
        <v>0</v>
      </c>
      <c r="AD42" s="924">
        <f t="shared" si="17"/>
        <v>0</v>
      </c>
      <c r="AE42" s="1231">
        <f t="shared" si="17"/>
        <v>0</v>
      </c>
      <c r="AF42" s="1231">
        <f t="shared" si="17"/>
        <v>0</v>
      </c>
      <c r="AH42" s="65"/>
    </row>
    <row r="43" spans="2:34" x14ac:dyDescent="0.3">
      <c r="B43" s="61"/>
      <c r="C43" s="114"/>
      <c r="D43" s="267"/>
      <c r="E43" s="267"/>
      <c r="F43" s="355"/>
      <c r="G43" s="105"/>
      <c r="H43" s="203"/>
      <c r="I43" s="105"/>
      <c r="J43" s="105"/>
      <c r="K43" s="112"/>
      <c r="L43" s="116">
        <f t="shared" si="12"/>
        <v>0</v>
      </c>
      <c r="M43" s="924">
        <f t="shared" si="5"/>
        <v>0</v>
      </c>
      <c r="N43" s="924">
        <f t="shared" si="13"/>
        <v>0</v>
      </c>
      <c r="O43" s="1008" t="str">
        <f t="shared" si="6"/>
        <v>-</v>
      </c>
      <c r="P43" s="924">
        <f t="shared" si="14"/>
        <v>0</v>
      </c>
      <c r="Q43" s="112"/>
      <c r="R43" s="924">
        <f t="shared" si="7"/>
        <v>0</v>
      </c>
      <c r="S43" s="924">
        <f t="shared" si="8"/>
        <v>0</v>
      </c>
      <c r="T43" s="924">
        <f t="shared" si="9"/>
        <v>0</v>
      </c>
      <c r="U43" s="924">
        <f t="shared" si="16"/>
        <v>0</v>
      </c>
      <c r="V43" s="924">
        <f t="shared" si="16"/>
        <v>0</v>
      </c>
      <c r="W43" s="924">
        <f t="shared" si="16"/>
        <v>0</v>
      </c>
      <c r="X43" s="924">
        <f t="shared" si="16"/>
        <v>0</v>
      </c>
      <c r="Y43" s="112"/>
      <c r="Z43" s="924">
        <f t="shared" ref="Z43:AF52" si="18">IF(Z$7=$I43,($G43*$H43),0)</f>
        <v>0</v>
      </c>
      <c r="AA43" s="924">
        <f t="shared" si="18"/>
        <v>0</v>
      </c>
      <c r="AB43" s="924">
        <f t="shared" si="18"/>
        <v>0</v>
      </c>
      <c r="AC43" s="924">
        <f t="shared" si="18"/>
        <v>0</v>
      </c>
      <c r="AD43" s="924">
        <f t="shared" si="18"/>
        <v>0</v>
      </c>
      <c r="AE43" s="1231">
        <f t="shared" si="18"/>
        <v>0</v>
      </c>
      <c r="AF43" s="1231">
        <f t="shared" si="18"/>
        <v>0</v>
      </c>
      <c r="AH43" s="65"/>
    </row>
    <row r="44" spans="2:34" x14ac:dyDescent="0.3">
      <c r="B44" s="61"/>
      <c r="C44" s="114"/>
      <c r="D44" s="267"/>
      <c r="E44" s="267"/>
      <c r="F44" s="355"/>
      <c r="G44" s="105"/>
      <c r="H44" s="203"/>
      <c r="I44" s="105"/>
      <c r="J44" s="105"/>
      <c r="K44" s="112"/>
      <c r="L44" s="116">
        <f t="shared" si="12"/>
        <v>0</v>
      </c>
      <c r="M44" s="924">
        <f t="shared" ref="M44:M106" si="19">G44*H44</f>
        <v>0</v>
      </c>
      <c r="N44" s="924">
        <f t="shared" ref="N44:N106" si="20">IF(G44=0,0,(G44*H44)/L44)</f>
        <v>0</v>
      </c>
      <c r="O44" s="1008" t="str">
        <f t="shared" ref="O44:O106" si="21">IF(L44=0,"-",(IF(L44&gt;3000,"-",I44+L44-1)))</f>
        <v>-</v>
      </c>
      <c r="P44" s="924">
        <f t="shared" si="14"/>
        <v>0</v>
      </c>
      <c r="Q44" s="112"/>
      <c r="R44" s="924">
        <f t="shared" ref="R44:R106" si="22">(IF(R$7&lt;$I44,0,IF($O44&lt;=R$7-1,0,$N44)))</f>
        <v>0</v>
      </c>
      <c r="S44" s="924">
        <f t="shared" ref="S44:S106" si="23">(IF(S$7&lt;$I44,0,IF($O44&lt;=S$7-1,0,$N44)))</f>
        <v>0</v>
      </c>
      <c r="T44" s="924">
        <f t="shared" ref="T44:T106" si="24">(IF(T$7&lt;$I44,0,IF($O44&lt;=T$7-1,0,$N44)))</f>
        <v>0</v>
      </c>
      <c r="U44" s="924">
        <f t="shared" si="16"/>
        <v>0</v>
      </c>
      <c r="V44" s="924">
        <f t="shared" si="16"/>
        <v>0</v>
      </c>
      <c r="W44" s="924">
        <f t="shared" si="16"/>
        <v>0</v>
      </c>
      <c r="X44" s="924">
        <f t="shared" si="16"/>
        <v>0</v>
      </c>
      <c r="Y44" s="112"/>
      <c r="Z44" s="924">
        <f t="shared" si="18"/>
        <v>0</v>
      </c>
      <c r="AA44" s="924">
        <f t="shared" si="18"/>
        <v>0</v>
      </c>
      <c r="AB44" s="924">
        <f t="shared" si="18"/>
        <v>0</v>
      </c>
      <c r="AC44" s="924">
        <f t="shared" si="18"/>
        <v>0</v>
      </c>
      <c r="AD44" s="924">
        <f t="shared" si="18"/>
        <v>0</v>
      </c>
      <c r="AE44" s="1231">
        <f t="shared" si="18"/>
        <v>0</v>
      </c>
      <c r="AF44" s="1231">
        <f t="shared" si="18"/>
        <v>0</v>
      </c>
      <c r="AH44" s="65"/>
    </row>
    <row r="45" spans="2:34" x14ac:dyDescent="0.3">
      <c r="B45" s="61"/>
      <c r="C45" s="114"/>
      <c r="D45" s="267"/>
      <c r="E45" s="267"/>
      <c r="F45" s="355"/>
      <c r="G45" s="105"/>
      <c r="H45" s="203"/>
      <c r="I45" s="105"/>
      <c r="J45" s="105"/>
      <c r="K45" s="112"/>
      <c r="L45" s="116">
        <f t="shared" si="12"/>
        <v>0</v>
      </c>
      <c r="M45" s="924">
        <f t="shared" si="19"/>
        <v>0</v>
      </c>
      <c r="N45" s="924">
        <f t="shared" si="20"/>
        <v>0</v>
      </c>
      <c r="O45" s="1008" t="str">
        <f t="shared" si="21"/>
        <v>-</v>
      </c>
      <c r="P45" s="924">
        <f t="shared" si="14"/>
        <v>0</v>
      </c>
      <c r="Q45" s="112"/>
      <c r="R45" s="924">
        <f t="shared" si="22"/>
        <v>0</v>
      </c>
      <c r="S45" s="924">
        <f t="shared" si="23"/>
        <v>0</v>
      </c>
      <c r="T45" s="924">
        <f t="shared" si="24"/>
        <v>0</v>
      </c>
      <c r="U45" s="924">
        <f t="shared" si="16"/>
        <v>0</v>
      </c>
      <c r="V45" s="924">
        <f t="shared" si="16"/>
        <v>0</v>
      </c>
      <c r="W45" s="924">
        <f t="shared" si="16"/>
        <v>0</v>
      </c>
      <c r="X45" s="924">
        <f t="shared" si="16"/>
        <v>0</v>
      </c>
      <c r="Y45" s="112"/>
      <c r="Z45" s="924">
        <f t="shared" si="18"/>
        <v>0</v>
      </c>
      <c r="AA45" s="924">
        <f t="shared" si="18"/>
        <v>0</v>
      </c>
      <c r="AB45" s="924">
        <f t="shared" si="18"/>
        <v>0</v>
      </c>
      <c r="AC45" s="924">
        <f t="shared" si="18"/>
        <v>0</v>
      </c>
      <c r="AD45" s="924">
        <f t="shared" si="18"/>
        <v>0</v>
      </c>
      <c r="AE45" s="1231">
        <f t="shared" si="18"/>
        <v>0</v>
      </c>
      <c r="AF45" s="1231">
        <f t="shared" si="18"/>
        <v>0</v>
      </c>
      <c r="AH45" s="65"/>
    </row>
    <row r="46" spans="2:34" x14ac:dyDescent="0.3">
      <c r="B46" s="61"/>
      <c r="C46" s="114"/>
      <c r="D46" s="267"/>
      <c r="E46" s="267"/>
      <c r="F46" s="355"/>
      <c r="G46" s="105"/>
      <c r="H46" s="203"/>
      <c r="I46" s="105"/>
      <c r="J46" s="105"/>
      <c r="K46" s="112"/>
      <c r="L46" s="116">
        <f t="shared" si="12"/>
        <v>0</v>
      </c>
      <c r="M46" s="924">
        <f t="shared" si="19"/>
        <v>0</v>
      </c>
      <c r="N46" s="924">
        <f t="shared" si="20"/>
        <v>0</v>
      </c>
      <c r="O46" s="1008" t="str">
        <f t="shared" si="21"/>
        <v>-</v>
      </c>
      <c r="P46" s="924">
        <f t="shared" si="14"/>
        <v>0</v>
      </c>
      <c r="Q46" s="112"/>
      <c r="R46" s="924">
        <f t="shared" si="22"/>
        <v>0</v>
      </c>
      <c r="S46" s="924">
        <f t="shared" si="23"/>
        <v>0</v>
      </c>
      <c r="T46" s="924">
        <f t="shared" si="24"/>
        <v>0</v>
      </c>
      <c r="U46" s="924">
        <f t="shared" si="16"/>
        <v>0</v>
      </c>
      <c r="V46" s="924">
        <f t="shared" si="16"/>
        <v>0</v>
      </c>
      <c r="W46" s="924">
        <f t="shared" si="16"/>
        <v>0</v>
      </c>
      <c r="X46" s="924">
        <f t="shared" si="16"/>
        <v>0</v>
      </c>
      <c r="Y46" s="112"/>
      <c r="Z46" s="924">
        <f t="shared" si="18"/>
        <v>0</v>
      </c>
      <c r="AA46" s="924">
        <f t="shared" si="18"/>
        <v>0</v>
      </c>
      <c r="AB46" s="924">
        <f t="shared" si="18"/>
        <v>0</v>
      </c>
      <c r="AC46" s="924">
        <f t="shared" si="18"/>
        <v>0</v>
      </c>
      <c r="AD46" s="924">
        <f t="shared" si="18"/>
        <v>0</v>
      </c>
      <c r="AE46" s="1231">
        <f t="shared" si="18"/>
        <v>0</v>
      </c>
      <c r="AF46" s="1231">
        <f t="shared" si="18"/>
        <v>0</v>
      </c>
      <c r="AH46" s="65"/>
    </row>
    <row r="47" spans="2:34" x14ac:dyDescent="0.3">
      <c r="B47" s="61"/>
      <c r="C47" s="114"/>
      <c r="D47" s="267"/>
      <c r="E47" s="267"/>
      <c r="F47" s="355"/>
      <c r="G47" s="105"/>
      <c r="H47" s="203"/>
      <c r="I47" s="105"/>
      <c r="J47" s="105"/>
      <c r="K47" s="112"/>
      <c r="L47" s="116">
        <f t="shared" si="12"/>
        <v>0</v>
      </c>
      <c r="M47" s="924">
        <f t="shared" si="19"/>
        <v>0</v>
      </c>
      <c r="N47" s="924">
        <f t="shared" si="20"/>
        <v>0</v>
      </c>
      <c r="O47" s="1008" t="str">
        <f t="shared" si="21"/>
        <v>-</v>
      </c>
      <c r="P47" s="924">
        <f t="shared" si="14"/>
        <v>0</v>
      </c>
      <c r="Q47" s="112"/>
      <c r="R47" s="924">
        <f t="shared" si="22"/>
        <v>0</v>
      </c>
      <c r="S47" s="924">
        <f t="shared" si="23"/>
        <v>0</v>
      </c>
      <c r="T47" s="924">
        <f t="shared" si="24"/>
        <v>0</v>
      </c>
      <c r="U47" s="924">
        <f t="shared" si="16"/>
        <v>0</v>
      </c>
      <c r="V47" s="924">
        <f t="shared" si="16"/>
        <v>0</v>
      </c>
      <c r="W47" s="924">
        <f t="shared" si="16"/>
        <v>0</v>
      </c>
      <c r="X47" s="924">
        <f t="shared" si="16"/>
        <v>0</v>
      </c>
      <c r="Y47" s="112"/>
      <c r="Z47" s="924">
        <f t="shared" si="18"/>
        <v>0</v>
      </c>
      <c r="AA47" s="924">
        <f t="shared" si="18"/>
        <v>0</v>
      </c>
      <c r="AB47" s="924">
        <f t="shared" si="18"/>
        <v>0</v>
      </c>
      <c r="AC47" s="924">
        <f t="shared" si="18"/>
        <v>0</v>
      </c>
      <c r="AD47" s="924">
        <f t="shared" si="18"/>
        <v>0</v>
      </c>
      <c r="AE47" s="1231">
        <f t="shared" si="18"/>
        <v>0</v>
      </c>
      <c r="AF47" s="1231">
        <f t="shared" si="18"/>
        <v>0</v>
      </c>
      <c r="AH47" s="65"/>
    </row>
    <row r="48" spans="2:34" x14ac:dyDescent="0.3">
      <c r="B48" s="61"/>
      <c r="C48" s="114"/>
      <c r="D48" s="267"/>
      <c r="E48" s="267"/>
      <c r="F48" s="355"/>
      <c r="G48" s="105"/>
      <c r="H48" s="203"/>
      <c r="I48" s="105"/>
      <c r="J48" s="105"/>
      <c r="K48" s="112"/>
      <c r="L48" s="116">
        <f t="shared" si="12"/>
        <v>0</v>
      </c>
      <c r="M48" s="924">
        <f t="shared" si="19"/>
        <v>0</v>
      </c>
      <c r="N48" s="924">
        <f t="shared" si="20"/>
        <v>0</v>
      </c>
      <c r="O48" s="1008" t="str">
        <f t="shared" si="21"/>
        <v>-</v>
      </c>
      <c r="P48" s="924">
        <f t="shared" si="14"/>
        <v>0</v>
      </c>
      <c r="Q48" s="112"/>
      <c r="R48" s="924">
        <f t="shared" si="22"/>
        <v>0</v>
      </c>
      <c r="S48" s="924">
        <f t="shared" si="23"/>
        <v>0</v>
      </c>
      <c r="T48" s="924">
        <f t="shared" si="24"/>
        <v>0</v>
      </c>
      <c r="U48" s="924">
        <f t="shared" si="16"/>
        <v>0</v>
      </c>
      <c r="V48" s="924">
        <f t="shared" si="16"/>
        <v>0</v>
      </c>
      <c r="W48" s="924">
        <f t="shared" si="16"/>
        <v>0</v>
      </c>
      <c r="X48" s="924">
        <f t="shared" si="16"/>
        <v>0</v>
      </c>
      <c r="Y48" s="112"/>
      <c r="Z48" s="924">
        <f t="shared" si="18"/>
        <v>0</v>
      </c>
      <c r="AA48" s="924">
        <f t="shared" si="18"/>
        <v>0</v>
      </c>
      <c r="AB48" s="924">
        <f t="shared" si="18"/>
        <v>0</v>
      </c>
      <c r="AC48" s="924">
        <f t="shared" si="18"/>
        <v>0</v>
      </c>
      <c r="AD48" s="924">
        <f t="shared" si="18"/>
        <v>0</v>
      </c>
      <c r="AE48" s="1231">
        <f t="shared" si="18"/>
        <v>0</v>
      </c>
      <c r="AF48" s="1231">
        <f t="shared" si="18"/>
        <v>0</v>
      </c>
      <c r="AH48" s="65"/>
    </row>
    <row r="49" spans="2:34" x14ac:dyDescent="0.3">
      <c r="B49" s="61"/>
      <c r="C49" s="114"/>
      <c r="D49" s="267"/>
      <c r="E49" s="267"/>
      <c r="F49" s="355"/>
      <c r="G49" s="105"/>
      <c r="H49" s="203"/>
      <c r="I49" s="105"/>
      <c r="J49" s="105"/>
      <c r="K49" s="112"/>
      <c r="L49" s="116">
        <f t="shared" si="12"/>
        <v>0</v>
      </c>
      <c r="M49" s="924">
        <f t="shared" si="19"/>
        <v>0</v>
      </c>
      <c r="N49" s="924">
        <f t="shared" si="20"/>
        <v>0</v>
      </c>
      <c r="O49" s="1008" t="str">
        <f t="shared" si="21"/>
        <v>-</v>
      </c>
      <c r="P49" s="924">
        <f t="shared" si="14"/>
        <v>0</v>
      </c>
      <c r="Q49" s="112"/>
      <c r="R49" s="924">
        <f t="shared" si="22"/>
        <v>0</v>
      </c>
      <c r="S49" s="924">
        <f t="shared" si="23"/>
        <v>0</v>
      </c>
      <c r="T49" s="924">
        <f t="shared" si="24"/>
        <v>0</v>
      </c>
      <c r="U49" s="924">
        <f t="shared" si="16"/>
        <v>0</v>
      </c>
      <c r="V49" s="924">
        <f t="shared" si="16"/>
        <v>0</v>
      </c>
      <c r="W49" s="924">
        <f t="shared" si="16"/>
        <v>0</v>
      </c>
      <c r="X49" s="924">
        <f t="shared" si="16"/>
        <v>0</v>
      </c>
      <c r="Y49" s="112"/>
      <c r="Z49" s="924">
        <f t="shared" si="18"/>
        <v>0</v>
      </c>
      <c r="AA49" s="924">
        <f t="shared" si="18"/>
        <v>0</v>
      </c>
      <c r="AB49" s="924">
        <f t="shared" si="18"/>
        <v>0</v>
      </c>
      <c r="AC49" s="924">
        <f t="shared" si="18"/>
        <v>0</v>
      </c>
      <c r="AD49" s="924">
        <f t="shared" si="18"/>
        <v>0</v>
      </c>
      <c r="AE49" s="1231">
        <f t="shared" si="18"/>
        <v>0</v>
      </c>
      <c r="AF49" s="1231">
        <f t="shared" si="18"/>
        <v>0</v>
      </c>
      <c r="AH49" s="65"/>
    </row>
    <row r="50" spans="2:34" x14ac:dyDescent="0.3">
      <c r="B50" s="61"/>
      <c r="C50" s="114"/>
      <c r="D50" s="267"/>
      <c r="E50" s="267"/>
      <c r="F50" s="355"/>
      <c r="G50" s="105"/>
      <c r="H50" s="203"/>
      <c r="I50" s="105"/>
      <c r="J50" s="105"/>
      <c r="K50" s="112"/>
      <c r="L50" s="116">
        <f t="shared" si="12"/>
        <v>0</v>
      </c>
      <c r="M50" s="924">
        <f t="shared" si="19"/>
        <v>0</v>
      </c>
      <c r="N50" s="924">
        <f t="shared" si="20"/>
        <v>0</v>
      </c>
      <c r="O50" s="1008" t="str">
        <f t="shared" si="21"/>
        <v>-</v>
      </c>
      <c r="P50" s="924">
        <f t="shared" si="14"/>
        <v>0</v>
      </c>
      <c r="Q50" s="112"/>
      <c r="R50" s="924">
        <f t="shared" si="22"/>
        <v>0</v>
      </c>
      <c r="S50" s="924">
        <f t="shared" si="23"/>
        <v>0</v>
      </c>
      <c r="T50" s="924">
        <f t="shared" si="24"/>
        <v>0</v>
      </c>
      <c r="U50" s="924">
        <f t="shared" si="16"/>
        <v>0</v>
      </c>
      <c r="V50" s="924">
        <f t="shared" si="16"/>
        <v>0</v>
      </c>
      <c r="W50" s="924">
        <f t="shared" si="16"/>
        <v>0</v>
      </c>
      <c r="X50" s="924">
        <f t="shared" si="16"/>
        <v>0</v>
      </c>
      <c r="Y50" s="112"/>
      <c r="Z50" s="924">
        <f t="shared" si="18"/>
        <v>0</v>
      </c>
      <c r="AA50" s="924">
        <f t="shared" si="18"/>
        <v>0</v>
      </c>
      <c r="AB50" s="924">
        <f t="shared" si="18"/>
        <v>0</v>
      </c>
      <c r="AC50" s="924">
        <f t="shared" si="18"/>
        <v>0</v>
      </c>
      <c r="AD50" s="924">
        <f t="shared" si="18"/>
        <v>0</v>
      </c>
      <c r="AE50" s="1231">
        <f t="shared" si="18"/>
        <v>0</v>
      </c>
      <c r="AF50" s="1231">
        <f t="shared" si="18"/>
        <v>0</v>
      </c>
      <c r="AH50" s="65"/>
    </row>
    <row r="51" spans="2:34" x14ac:dyDescent="0.3">
      <c r="B51" s="61"/>
      <c r="C51" s="114"/>
      <c r="D51" s="267"/>
      <c r="E51" s="267"/>
      <c r="F51" s="355"/>
      <c r="G51" s="105"/>
      <c r="H51" s="203"/>
      <c r="I51" s="105"/>
      <c r="J51" s="105"/>
      <c r="K51" s="112"/>
      <c r="L51" s="116">
        <f t="shared" si="12"/>
        <v>0</v>
      </c>
      <c r="M51" s="924">
        <f t="shared" si="19"/>
        <v>0</v>
      </c>
      <c r="N51" s="924">
        <f t="shared" si="20"/>
        <v>0</v>
      </c>
      <c r="O51" s="1008" t="str">
        <f t="shared" si="21"/>
        <v>-</v>
      </c>
      <c r="P51" s="924">
        <f t="shared" si="14"/>
        <v>0</v>
      </c>
      <c r="Q51" s="112"/>
      <c r="R51" s="924">
        <f t="shared" si="22"/>
        <v>0</v>
      </c>
      <c r="S51" s="924">
        <f t="shared" si="23"/>
        <v>0</v>
      </c>
      <c r="T51" s="924">
        <f t="shared" si="24"/>
        <v>0</v>
      </c>
      <c r="U51" s="924">
        <f t="shared" si="16"/>
        <v>0</v>
      </c>
      <c r="V51" s="924">
        <f t="shared" si="16"/>
        <v>0</v>
      </c>
      <c r="W51" s="924">
        <f t="shared" si="16"/>
        <v>0</v>
      </c>
      <c r="X51" s="924">
        <f t="shared" si="16"/>
        <v>0</v>
      </c>
      <c r="Y51" s="112"/>
      <c r="Z51" s="924">
        <f t="shared" si="18"/>
        <v>0</v>
      </c>
      <c r="AA51" s="924">
        <f t="shared" si="18"/>
        <v>0</v>
      </c>
      <c r="AB51" s="924">
        <f t="shared" si="18"/>
        <v>0</v>
      </c>
      <c r="AC51" s="924">
        <f t="shared" si="18"/>
        <v>0</v>
      </c>
      <c r="AD51" s="924">
        <f t="shared" si="18"/>
        <v>0</v>
      </c>
      <c r="AE51" s="1231">
        <f t="shared" si="18"/>
        <v>0</v>
      </c>
      <c r="AF51" s="1231">
        <f t="shared" si="18"/>
        <v>0</v>
      </c>
      <c r="AH51" s="65"/>
    </row>
    <row r="52" spans="2:34" x14ac:dyDescent="0.3">
      <c r="B52" s="61"/>
      <c r="C52" s="114"/>
      <c r="D52" s="267"/>
      <c r="E52" s="267"/>
      <c r="F52" s="355"/>
      <c r="G52" s="105"/>
      <c r="H52" s="203"/>
      <c r="I52" s="105"/>
      <c r="J52" s="105"/>
      <c r="K52" s="112"/>
      <c r="L52" s="116">
        <f t="shared" si="12"/>
        <v>0</v>
      </c>
      <c r="M52" s="924">
        <f t="shared" si="19"/>
        <v>0</v>
      </c>
      <c r="N52" s="924">
        <f t="shared" si="20"/>
        <v>0</v>
      </c>
      <c r="O52" s="1008" t="str">
        <f t="shared" si="21"/>
        <v>-</v>
      </c>
      <c r="P52" s="924">
        <f t="shared" si="14"/>
        <v>0</v>
      </c>
      <c r="Q52" s="112"/>
      <c r="R52" s="924">
        <f t="shared" si="22"/>
        <v>0</v>
      </c>
      <c r="S52" s="924">
        <f t="shared" si="23"/>
        <v>0</v>
      </c>
      <c r="T52" s="924">
        <f t="shared" si="24"/>
        <v>0</v>
      </c>
      <c r="U52" s="924">
        <f t="shared" si="16"/>
        <v>0</v>
      </c>
      <c r="V52" s="924">
        <f t="shared" si="16"/>
        <v>0</v>
      </c>
      <c r="W52" s="924">
        <f t="shared" si="16"/>
        <v>0</v>
      </c>
      <c r="X52" s="924">
        <f t="shared" si="16"/>
        <v>0</v>
      </c>
      <c r="Y52" s="112"/>
      <c r="Z52" s="924">
        <f t="shared" si="18"/>
        <v>0</v>
      </c>
      <c r="AA52" s="924">
        <f t="shared" si="18"/>
        <v>0</v>
      </c>
      <c r="AB52" s="924">
        <f t="shared" si="18"/>
        <v>0</v>
      </c>
      <c r="AC52" s="924">
        <f t="shared" si="18"/>
        <v>0</v>
      </c>
      <c r="AD52" s="924">
        <f t="shared" si="18"/>
        <v>0</v>
      </c>
      <c r="AE52" s="1231">
        <f t="shared" si="18"/>
        <v>0</v>
      </c>
      <c r="AF52" s="1231">
        <f t="shared" si="18"/>
        <v>0</v>
      </c>
      <c r="AH52" s="65"/>
    </row>
    <row r="53" spans="2:34" x14ac:dyDescent="0.3">
      <c r="B53" s="61"/>
      <c r="C53" s="114"/>
      <c r="D53" s="267"/>
      <c r="E53" s="267"/>
      <c r="F53" s="355"/>
      <c r="G53" s="105"/>
      <c r="H53" s="203"/>
      <c r="I53" s="105"/>
      <c r="J53" s="105"/>
      <c r="K53" s="112"/>
      <c r="L53" s="116">
        <f t="shared" si="12"/>
        <v>0</v>
      </c>
      <c r="M53" s="924">
        <f t="shared" si="19"/>
        <v>0</v>
      </c>
      <c r="N53" s="924">
        <f t="shared" si="20"/>
        <v>0</v>
      </c>
      <c r="O53" s="1008" t="str">
        <f t="shared" si="21"/>
        <v>-</v>
      </c>
      <c r="P53" s="924">
        <f t="shared" si="14"/>
        <v>0</v>
      </c>
      <c r="Q53" s="112"/>
      <c r="R53" s="924">
        <f t="shared" si="22"/>
        <v>0</v>
      </c>
      <c r="S53" s="924">
        <f t="shared" si="23"/>
        <v>0</v>
      </c>
      <c r="T53" s="924">
        <f t="shared" si="24"/>
        <v>0</v>
      </c>
      <c r="U53" s="924">
        <f t="shared" ref="U53:X72" si="25">(IF(U$7&lt;$I53,0,IF($O53&lt;=U$7-1,0,$N53)))</f>
        <v>0</v>
      </c>
      <c r="V53" s="924">
        <f t="shared" si="25"/>
        <v>0</v>
      </c>
      <c r="W53" s="924">
        <f t="shared" si="25"/>
        <v>0</v>
      </c>
      <c r="X53" s="924">
        <f t="shared" si="25"/>
        <v>0</v>
      </c>
      <c r="Y53" s="112"/>
      <c r="Z53" s="924">
        <f t="shared" ref="Z53:AF62" si="26">IF(Z$7=$I53,($G53*$H53),0)</f>
        <v>0</v>
      </c>
      <c r="AA53" s="924">
        <f t="shared" si="26"/>
        <v>0</v>
      </c>
      <c r="AB53" s="924">
        <f t="shared" si="26"/>
        <v>0</v>
      </c>
      <c r="AC53" s="924">
        <f t="shared" si="26"/>
        <v>0</v>
      </c>
      <c r="AD53" s="924">
        <f t="shared" si="26"/>
        <v>0</v>
      </c>
      <c r="AE53" s="1231">
        <f t="shared" si="26"/>
        <v>0</v>
      </c>
      <c r="AF53" s="1231">
        <f t="shared" si="26"/>
        <v>0</v>
      </c>
      <c r="AH53" s="65"/>
    </row>
    <row r="54" spans="2:34" x14ac:dyDescent="0.3">
      <c r="B54" s="61"/>
      <c r="C54" s="114"/>
      <c r="D54" s="267"/>
      <c r="E54" s="267"/>
      <c r="F54" s="355"/>
      <c r="G54" s="105"/>
      <c r="H54" s="203"/>
      <c r="I54" s="105"/>
      <c r="J54" s="105"/>
      <c r="K54" s="112"/>
      <c r="L54" s="116">
        <f t="shared" si="12"/>
        <v>0</v>
      </c>
      <c r="M54" s="924">
        <f t="shared" si="19"/>
        <v>0</v>
      </c>
      <c r="N54" s="924">
        <f t="shared" si="20"/>
        <v>0</v>
      </c>
      <c r="O54" s="1008" t="str">
        <f t="shared" si="21"/>
        <v>-</v>
      </c>
      <c r="P54" s="924">
        <f t="shared" si="14"/>
        <v>0</v>
      </c>
      <c r="Q54" s="112"/>
      <c r="R54" s="924">
        <f t="shared" si="22"/>
        <v>0</v>
      </c>
      <c r="S54" s="924">
        <f t="shared" si="23"/>
        <v>0</v>
      </c>
      <c r="T54" s="924">
        <f t="shared" si="24"/>
        <v>0</v>
      </c>
      <c r="U54" s="924">
        <f t="shared" si="25"/>
        <v>0</v>
      </c>
      <c r="V54" s="924">
        <f t="shared" si="25"/>
        <v>0</v>
      </c>
      <c r="W54" s="924">
        <f t="shared" si="25"/>
        <v>0</v>
      </c>
      <c r="X54" s="924">
        <f t="shared" si="25"/>
        <v>0</v>
      </c>
      <c r="Y54" s="112"/>
      <c r="Z54" s="924">
        <f t="shared" si="26"/>
        <v>0</v>
      </c>
      <c r="AA54" s="924">
        <f t="shared" si="26"/>
        <v>0</v>
      </c>
      <c r="AB54" s="924">
        <f t="shared" si="26"/>
        <v>0</v>
      </c>
      <c r="AC54" s="924">
        <f t="shared" si="26"/>
        <v>0</v>
      </c>
      <c r="AD54" s="924">
        <f t="shared" si="26"/>
        <v>0</v>
      </c>
      <c r="AE54" s="1231">
        <f t="shared" si="26"/>
        <v>0</v>
      </c>
      <c r="AF54" s="1231">
        <f t="shared" si="26"/>
        <v>0</v>
      </c>
      <c r="AH54" s="65"/>
    </row>
    <row r="55" spans="2:34" x14ac:dyDescent="0.3">
      <c r="B55" s="61"/>
      <c r="C55" s="114"/>
      <c r="D55" s="267"/>
      <c r="E55" s="267"/>
      <c r="F55" s="355"/>
      <c r="G55" s="105"/>
      <c r="H55" s="203"/>
      <c r="I55" s="105"/>
      <c r="J55" s="105"/>
      <c r="K55" s="112"/>
      <c r="L55" s="116">
        <f t="shared" si="12"/>
        <v>0</v>
      </c>
      <c r="M55" s="924">
        <f t="shared" si="19"/>
        <v>0</v>
      </c>
      <c r="N55" s="924">
        <f t="shared" si="20"/>
        <v>0</v>
      </c>
      <c r="O55" s="1008" t="str">
        <f t="shared" si="21"/>
        <v>-</v>
      </c>
      <c r="P55" s="924">
        <f t="shared" si="14"/>
        <v>0</v>
      </c>
      <c r="Q55" s="112"/>
      <c r="R55" s="924">
        <f t="shared" si="22"/>
        <v>0</v>
      </c>
      <c r="S55" s="924">
        <f t="shared" si="23"/>
        <v>0</v>
      </c>
      <c r="T55" s="924">
        <f t="shared" si="24"/>
        <v>0</v>
      </c>
      <c r="U55" s="924">
        <f t="shared" si="25"/>
        <v>0</v>
      </c>
      <c r="V55" s="924">
        <f t="shared" si="25"/>
        <v>0</v>
      </c>
      <c r="W55" s="924">
        <f t="shared" si="25"/>
        <v>0</v>
      </c>
      <c r="X55" s="924">
        <f t="shared" si="25"/>
        <v>0</v>
      </c>
      <c r="Y55" s="112"/>
      <c r="Z55" s="924">
        <f t="shared" si="26"/>
        <v>0</v>
      </c>
      <c r="AA55" s="924">
        <f t="shared" si="26"/>
        <v>0</v>
      </c>
      <c r="AB55" s="924">
        <f t="shared" si="26"/>
        <v>0</v>
      </c>
      <c r="AC55" s="924">
        <f t="shared" si="26"/>
        <v>0</v>
      </c>
      <c r="AD55" s="924">
        <f t="shared" si="26"/>
        <v>0</v>
      </c>
      <c r="AE55" s="1231">
        <f t="shared" si="26"/>
        <v>0</v>
      </c>
      <c r="AF55" s="1231">
        <f t="shared" si="26"/>
        <v>0</v>
      </c>
      <c r="AH55" s="65"/>
    </row>
    <row r="56" spans="2:34" x14ac:dyDescent="0.3">
      <c r="B56" s="61"/>
      <c r="C56" s="114"/>
      <c r="D56" s="267"/>
      <c r="E56" s="267"/>
      <c r="F56" s="355"/>
      <c r="G56" s="105"/>
      <c r="H56" s="203"/>
      <c r="I56" s="105"/>
      <c r="J56" s="105"/>
      <c r="K56" s="112"/>
      <c r="L56" s="116">
        <f t="shared" si="12"/>
        <v>0</v>
      </c>
      <c r="M56" s="924">
        <f t="shared" si="19"/>
        <v>0</v>
      </c>
      <c r="N56" s="924">
        <f t="shared" si="20"/>
        <v>0</v>
      </c>
      <c r="O56" s="1008" t="str">
        <f t="shared" si="21"/>
        <v>-</v>
      </c>
      <c r="P56" s="924">
        <f t="shared" si="14"/>
        <v>0</v>
      </c>
      <c r="Q56" s="112"/>
      <c r="R56" s="924">
        <f t="shared" si="22"/>
        <v>0</v>
      </c>
      <c r="S56" s="924">
        <f t="shared" si="23"/>
        <v>0</v>
      </c>
      <c r="T56" s="924">
        <f t="shared" si="24"/>
        <v>0</v>
      </c>
      <c r="U56" s="924">
        <f t="shared" si="25"/>
        <v>0</v>
      </c>
      <c r="V56" s="924">
        <f t="shared" si="25"/>
        <v>0</v>
      </c>
      <c r="W56" s="924">
        <f t="shared" si="25"/>
        <v>0</v>
      </c>
      <c r="X56" s="924">
        <f t="shared" si="25"/>
        <v>0</v>
      </c>
      <c r="Y56" s="112"/>
      <c r="Z56" s="924">
        <f t="shared" si="26"/>
        <v>0</v>
      </c>
      <c r="AA56" s="924">
        <f t="shared" si="26"/>
        <v>0</v>
      </c>
      <c r="AB56" s="924">
        <f t="shared" si="26"/>
        <v>0</v>
      </c>
      <c r="AC56" s="924">
        <f t="shared" si="26"/>
        <v>0</v>
      </c>
      <c r="AD56" s="924">
        <f t="shared" si="26"/>
        <v>0</v>
      </c>
      <c r="AE56" s="1231">
        <f t="shared" si="26"/>
        <v>0</v>
      </c>
      <c r="AF56" s="1231">
        <f t="shared" si="26"/>
        <v>0</v>
      </c>
      <c r="AH56" s="65"/>
    </row>
    <row r="57" spans="2:34" x14ac:dyDescent="0.3">
      <c r="B57" s="61"/>
      <c r="C57" s="114"/>
      <c r="D57" s="267"/>
      <c r="E57" s="267"/>
      <c r="F57" s="355"/>
      <c r="G57" s="105"/>
      <c r="H57" s="203"/>
      <c r="I57" s="105"/>
      <c r="J57" s="105"/>
      <c r="K57" s="112"/>
      <c r="L57" s="116">
        <f t="shared" si="12"/>
        <v>0</v>
      </c>
      <c r="M57" s="924">
        <f t="shared" si="19"/>
        <v>0</v>
      </c>
      <c r="N57" s="924">
        <f t="shared" si="20"/>
        <v>0</v>
      </c>
      <c r="O57" s="1008" t="str">
        <f t="shared" si="21"/>
        <v>-</v>
      </c>
      <c r="P57" s="924">
        <f t="shared" si="14"/>
        <v>0</v>
      </c>
      <c r="Q57" s="112"/>
      <c r="R57" s="924">
        <f t="shared" si="22"/>
        <v>0</v>
      </c>
      <c r="S57" s="924">
        <f t="shared" si="23"/>
        <v>0</v>
      </c>
      <c r="T57" s="924">
        <f t="shared" si="24"/>
        <v>0</v>
      </c>
      <c r="U57" s="924">
        <f t="shared" si="25"/>
        <v>0</v>
      </c>
      <c r="V57" s="924">
        <f t="shared" si="25"/>
        <v>0</v>
      </c>
      <c r="W57" s="924">
        <f t="shared" si="25"/>
        <v>0</v>
      </c>
      <c r="X57" s="924">
        <f t="shared" si="25"/>
        <v>0</v>
      </c>
      <c r="Y57" s="112"/>
      <c r="Z57" s="924">
        <f t="shared" si="26"/>
        <v>0</v>
      </c>
      <c r="AA57" s="924">
        <f t="shared" si="26"/>
        <v>0</v>
      </c>
      <c r="AB57" s="924">
        <f t="shared" si="26"/>
        <v>0</v>
      </c>
      <c r="AC57" s="924">
        <f t="shared" si="26"/>
        <v>0</v>
      </c>
      <c r="AD57" s="924">
        <f t="shared" si="26"/>
        <v>0</v>
      </c>
      <c r="AE57" s="1231">
        <f t="shared" si="26"/>
        <v>0</v>
      </c>
      <c r="AF57" s="1231">
        <f t="shared" si="26"/>
        <v>0</v>
      </c>
      <c r="AH57" s="65"/>
    </row>
    <row r="58" spans="2:34" x14ac:dyDescent="0.3">
      <c r="B58" s="61"/>
      <c r="C58" s="114"/>
      <c r="D58" s="267"/>
      <c r="E58" s="267"/>
      <c r="F58" s="355"/>
      <c r="G58" s="105"/>
      <c r="H58" s="203"/>
      <c r="I58" s="105"/>
      <c r="J58" s="105"/>
      <c r="K58" s="112"/>
      <c r="L58" s="116">
        <f t="shared" si="12"/>
        <v>0</v>
      </c>
      <c r="M58" s="924">
        <f t="shared" si="19"/>
        <v>0</v>
      </c>
      <c r="N58" s="924">
        <f t="shared" si="20"/>
        <v>0</v>
      </c>
      <c r="O58" s="1008" t="str">
        <f t="shared" si="21"/>
        <v>-</v>
      </c>
      <c r="P58" s="924">
        <f t="shared" si="14"/>
        <v>0</v>
      </c>
      <c r="Q58" s="112"/>
      <c r="R58" s="924">
        <f t="shared" si="22"/>
        <v>0</v>
      </c>
      <c r="S58" s="924">
        <f t="shared" si="23"/>
        <v>0</v>
      </c>
      <c r="T58" s="924">
        <f t="shared" si="24"/>
        <v>0</v>
      </c>
      <c r="U58" s="924">
        <f t="shared" si="25"/>
        <v>0</v>
      </c>
      <c r="V58" s="924">
        <f t="shared" si="25"/>
        <v>0</v>
      </c>
      <c r="W58" s="924">
        <f t="shared" si="25"/>
        <v>0</v>
      </c>
      <c r="X58" s="924">
        <f t="shared" si="25"/>
        <v>0</v>
      </c>
      <c r="Y58" s="112"/>
      <c r="Z58" s="924">
        <f t="shared" si="26"/>
        <v>0</v>
      </c>
      <c r="AA58" s="924">
        <f t="shared" si="26"/>
        <v>0</v>
      </c>
      <c r="AB58" s="924">
        <f t="shared" si="26"/>
        <v>0</v>
      </c>
      <c r="AC58" s="924">
        <f t="shared" si="26"/>
        <v>0</v>
      </c>
      <c r="AD58" s="924">
        <f t="shared" si="26"/>
        <v>0</v>
      </c>
      <c r="AE58" s="1231">
        <f t="shared" si="26"/>
        <v>0</v>
      </c>
      <c r="AF58" s="1231">
        <f t="shared" si="26"/>
        <v>0</v>
      </c>
      <c r="AH58" s="65"/>
    </row>
    <row r="59" spans="2:34" x14ac:dyDescent="0.3">
      <c r="B59" s="61"/>
      <c r="C59" s="114"/>
      <c r="D59" s="267"/>
      <c r="E59" s="267"/>
      <c r="F59" s="355"/>
      <c r="G59" s="105"/>
      <c r="H59" s="203"/>
      <c r="I59" s="105"/>
      <c r="J59" s="105"/>
      <c r="K59" s="112"/>
      <c r="L59" s="116">
        <f t="shared" si="12"/>
        <v>0</v>
      </c>
      <c r="M59" s="924">
        <f t="shared" si="19"/>
        <v>0</v>
      </c>
      <c r="N59" s="924">
        <f t="shared" si="20"/>
        <v>0</v>
      </c>
      <c r="O59" s="1008" t="str">
        <f t="shared" si="21"/>
        <v>-</v>
      </c>
      <c r="P59" s="924">
        <f t="shared" si="14"/>
        <v>0</v>
      </c>
      <c r="Q59" s="112"/>
      <c r="R59" s="924">
        <f t="shared" si="22"/>
        <v>0</v>
      </c>
      <c r="S59" s="924">
        <f t="shared" si="23"/>
        <v>0</v>
      </c>
      <c r="T59" s="924">
        <f t="shared" si="24"/>
        <v>0</v>
      </c>
      <c r="U59" s="924">
        <f t="shared" si="25"/>
        <v>0</v>
      </c>
      <c r="V59" s="924">
        <f t="shared" si="25"/>
        <v>0</v>
      </c>
      <c r="W59" s="924">
        <f t="shared" si="25"/>
        <v>0</v>
      </c>
      <c r="X59" s="924">
        <f t="shared" si="25"/>
        <v>0</v>
      </c>
      <c r="Y59" s="112"/>
      <c r="Z59" s="924">
        <f t="shared" si="26"/>
        <v>0</v>
      </c>
      <c r="AA59" s="924">
        <f t="shared" si="26"/>
        <v>0</v>
      </c>
      <c r="AB59" s="924">
        <f t="shared" si="26"/>
        <v>0</v>
      </c>
      <c r="AC59" s="924">
        <f t="shared" si="26"/>
        <v>0</v>
      </c>
      <c r="AD59" s="924">
        <f t="shared" si="26"/>
        <v>0</v>
      </c>
      <c r="AE59" s="1231">
        <f t="shared" si="26"/>
        <v>0</v>
      </c>
      <c r="AF59" s="1231">
        <f t="shared" si="26"/>
        <v>0</v>
      </c>
      <c r="AH59" s="65"/>
    </row>
    <row r="60" spans="2:34" x14ac:dyDescent="0.3">
      <c r="B60" s="61"/>
      <c r="C60" s="114"/>
      <c r="D60" s="267"/>
      <c r="E60" s="267"/>
      <c r="F60" s="355"/>
      <c r="G60" s="105"/>
      <c r="H60" s="203"/>
      <c r="I60" s="105"/>
      <c r="J60" s="105"/>
      <c r="K60" s="112"/>
      <c r="L60" s="116">
        <f t="shared" si="12"/>
        <v>0</v>
      </c>
      <c r="M60" s="924">
        <f t="shared" si="19"/>
        <v>0</v>
      </c>
      <c r="N60" s="924">
        <f t="shared" si="20"/>
        <v>0</v>
      </c>
      <c r="O60" s="1008" t="str">
        <f t="shared" si="21"/>
        <v>-</v>
      </c>
      <c r="P60" s="924">
        <f t="shared" si="14"/>
        <v>0</v>
      </c>
      <c r="Q60" s="112"/>
      <c r="R60" s="924">
        <f t="shared" si="22"/>
        <v>0</v>
      </c>
      <c r="S60" s="924">
        <f t="shared" si="23"/>
        <v>0</v>
      </c>
      <c r="T60" s="924">
        <f t="shared" si="24"/>
        <v>0</v>
      </c>
      <c r="U60" s="924">
        <f t="shared" si="25"/>
        <v>0</v>
      </c>
      <c r="V60" s="924">
        <f t="shared" si="25"/>
        <v>0</v>
      </c>
      <c r="W60" s="924">
        <f t="shared" si="25"/>
        <v>0</v>
      </c>
      <c r="X60" s="924">
        <f t="shared" si="25"/>
        <v>0</v>
      </c>
      <c r="Y60" s="112"/>
      <c r="Z60" s="924">
        <f t="shared" si="26"/>
        <v>0</v>
      </c>
      <c r="AA60" s="924">
        <f t="shared" si="26"/>
        <v>0</v>
      </c>
      <c r="AB60" s="924">
        <f t="shared" si="26"/>
        <v>0</v>
      </c>
      <c r="AC60" s="924">
        <f t="shared" si="26"/>
        <v>0</v>
      </c>
      <c r="AD60" s="924">
        <f t="shared" si="26"/>
        <v>0</v>
      </c>
      <c r="AE60" s="1231">
        <f t="shared" si="26"/>
        <v>0</v>
      </c>
      <c r="AF60" s="1231">
        <f t="shared" si="26"/>
        <v>0</v>
      </c>
      <c r="AH60" s="65"/>
    </row>
    <row r="61" spans="2:34" x14ac:dyDescent="0.3">
      <c r="B61" s="61"/>
      <c r="C61" s="114"/>
      <c r="D61" s="267"/>
      <c r="E61" s="267"/>
      <c r="F61" s="355"/>
      <c r="G61" s="105"/>
      <c r="H61" s="203"/>
      <c r="I61" s="105"/>
      <c r="J61" s="105"/>
      <c r="K61" s="112"/>
      <c r="L61" s="116">
        <f t="shared" si="12"/>
        <v>0</v>
      </c>
      <c r="M61" s="924">
        <f t="shared" si="19"/>
        <v>0</v>
      </c>
      <c r="N61" s="924">
        <f t="shared" si="20"/>
        <v>0</v>
      </c>
      <c r="O61" s="1008" t="str">
        <f t="shared" si="21"/>
        <v>-</v>
      </c>
      <c r="P61" s="924">
        <f t="shared" si="14"/>
        <v>0</v>
      </c>
      <c r="Q61" s="112"/>
      <c r="R61" s="924">
        <f t="shared" si="22"/>
        <v>0</v>
      </c>
      <c r="S61" s="924">
        <f t="shared" si="23"/>
        <v>0</v>
      </c>
      <c r="T61" s="924">
        <f t="shared" si="24"/>
        <v>0</v>
      </c>
      <c r="U61" s="924">
        <f t="shared" si="25"/>
        <v>0</v>
      </c>
      <c r="V61" s="924">
        <f t="shared" si="25"/>
        <v>0</v>
      </c>
      <c r="W61" s="924">
        <f t="shared" si="25"/>
        <v>0</v>
      </c>
      <c r="X61" s="924">
        <f t="shared" si="25"/>
        <v>0</v>
      </c>
      <c r="Y61" s="112"/>
      <c r="Z61" s="924">
        <f t="shared" si="26"/>
        <v>0</v>
      </c>
      <c r="AA61" s="924">
        <f t="shared" si="26"/>
        <v>0</v>
      </c>
      <c r="AB61" s="924">
        <f t="shared" si="26"/>
        <v>0</v>
      </c>
      <c r="AC61" s="924">
        <f t="shared" si="26"/>
        <v>0</v>
      </c>
      <c r="AD61" s="924">
        <f t="shared" si="26"/>
        <v>0</v>
      </c>
      <c r="AE61" s="1231">
        <f t="shared" si="26"/>
        <v>0</v>
      </c>
      <c r="AF61" s="1231">
        <f t="shared" si="26"/>
        <v>0</v>
      </c>
      <c r="AH61" s="65"/>
    </row>
    <row r="62" spans="2:34" x14ac:dyDescent="0.3">
      <c r="B62" s="61"/>
      <c r="C62" s="114"/>
      <c r="D62" s="267"/>
      <c r="E62" s="267"/>
      <c r="F62" s="355"/>
      <c r="G62" s="105"/>
      <c r="H62" s="203"/>
      <c r="I62" s="105"/>
      <c r="J62" s="105"/>
      <c r="K62" s="112"/>
      <c r="L62" s="116">
        <f t="shared" si="12"/>
        <v>0</v>
      </c>
      <c r="M62" s="924">
        <f t="shared" si="19"/>
        <v>0</v>
      </c>
      <c r="N62" s="924">
        <f t="shared" si="20"/>
        <v>0</v>
      </c>
      <c r="O62" s="1008" t="str">
        <f t="shared" si="21"/>
        <v>-</v>
      </c>
      <c r="P62" s="924">
        <f t="shared" si="14"/>
        <v>0</v>
      </c>
      <c r="Q62" s="112"/>
      <c r="R62" s="924">
        <f t="shared" si="22"/>
        <v>0</v>
      </c>
      <c r="S62" s="924">
        <f t="shared" si="23"/>
        <v>0</v>
      </c>
      <c r="T62" s="924">
        <f t="shared" si="24"/>
        <v>0</v>
      </c>
      <c r="U62" s="924">
        <f t="shared" si="25"/>
        <v>0</v>
      </c>
      <c r="V62" s="924">
        <f t="shared" si="25"/>
        <v>0</v>
      </c>
      <c r="W62" s="924">
        <f t="shared" si="25"/>
        <v>0</v>
      </c>
      <c r="X62" s="924">
        <f t="shared" si="25"/>
        <v>0</v>
      </c>
      <c r="Y62" s="112"/>
      <c r="Z62" s="924">
        <f t="shared" si="26"/>
        <v>0</v>
      </c>
      <c r="AA62" s="924">
        <f t="shared" si="26"/>
        <v>0</v>
      </c>
      <c r="AB62" s="924">
        <f t="shared" si="26"/>
        <v>0</v>
      </c>
      <c r="AC62" s="924">
        <f t="shared" si="26"/>
        <v>0</v>
      </c>
      <c r="AD62" s="924">
        <f t="shared" si="26"/>
        <v>0</v>
      </c>
      <c r="AE62" s="1231">
        <f t="shared" si="26"/>
        <v>0</v>
      </c>
      <c r="AF62" s="1231">
        <f t="shared" si="26"/>
        <v>0</v>
      </c>
      <c r="AH62" s="65"/>
    </row>
    <row r="63" spans="2:34" x14ac:dyDescent="0.3">
      <c r="B63" s="61"/>
      <c r="C63" s="114"/>
      <c r="D63" s="267"/>
      <c r="E63" s="267"/>
      <c r="F63" s="355"/>
      <c r="G63" s="105"/>
      <c r="H63" s="203"/>
      <c r="I63" s="105"/>
      <c r="J63" s="105"/>
      <c r="K63" s="112"/>
      <c r="L63" s="116">
        <f t="shared" si="12"/>
        <v>0</v>
      </c>
      <c r="M63" s="924">
        <f t="shared" si="19"/>
        <v>0</v>
      </c>
      <c r="N63" s="924">
        <f t="shared" si="20"/>
        <v>0</v>
      </c>
      <c r="O63" s="1008" t="str">
        <f t="shared" si="21"/>
        <v>-</v>
      </c>
      <c r="P63" s="924">
        <f t="shared" si="14"/>
        <v>0</v>
      </c>
      <c r="Q63" s="112"/>
      <c r="R63" s="924">
        <f t="shared" si="22"/>
        <v>0</v>
      </c>
      <c r="S63" s="924">
        <f t="shared" si="23"/>
        <v>0</v>
      </c>
      <c r="T63" s="924">
        <f t="shared" si="24"/>
        <v>0</v>
      </c>
      <c r="U63" s="924">
        <f t="shared" si="25"/>
        <v>0</v>
      </c>
      <c r="V63" s="924">
        <f t="shared" si="25"/>
        <v>0</v>
      </c>
      <c r="W63" s="924">
        <f t="shared" si="25"/>
        <v>0</v>
      </c>
      <c r="X63" s="924">
        <f t="shared" si="25"/>
        <v>0</v>
      </c>
      <c r="Y63" s="112"/>
      <c r="Z63" s="924">
        <f t="shared" ref="Z63:AF72" si="27">IF(Z$7=$I63,($G63*$H63),0)</f>
        <v>0</v>
      </c>
      <c r="AA63" s="924">
        <f t="shared" si="27"/>
        <v>0</v>
      </c>
      <c r="AB63" s="924">
        <f t="shared" si="27"/>
        <v>0</v>
      </c>
      <c r="AC63" s="924">
        <f t="shared" si="27"/>
        <v>0</v>
      </c>
      <c r="AD63" s="924">
        <f t="shared" si="27"/>
        <v>0</v>
      </c>
      <c r="AE63" s="1231">
        <f t="shared" si="27"/>
        <v>0</v>
      </c>
      <c r="AF63" s="1231">
        <f t="shared" si="27"/>
        <v>0</v>
      </c>
      <c r="AH63" s="65"/>
    </row>
    <row r="64" spans="2:34" x14ac:dyDescent="0.3">
      <c r="B64" s="61"/>
      <c r="C64" s="114"/>
      <c r="D64" s="267"/>
      <c r="E64" s="267"/>
      <c r="F64" s="355"/>
      <c r="G64" s="105"/>
      <c r="H64" s="203"/>
      <c r="I64" s="105"/>
      <c r="J64" s="105"/>
      <c r="K64" s="112"/>
      <c r="L64" s="116">
        <f t="shared" si="12"/>
        <v>0</v>
      </c>
      <c r="M64" s="924">
        <f t="shared" si="19"/>
        <v>0</v>
      </c>
      <c r="N64" s="924">
        <f t="shared" si="20"/>
        <v>0</v>
      </c>
      <c r="O64" s="1008" t="str">
        <f t="shared" si="21"/>
        <v>-</v>
      </c>
      <c r="P64" s="924">
        <f t="shared" si="14"/>
        <v>0</v>
      </c>
      <c r="Q64" s="112"/>
      <c r="R64" s="924">
        <f t="shared" si="22"/>
        <v>0</v>
      </c>
      <c r="S64" s="924">
        <f t="shared" si="23"/>
        <v>0</v>
      </c>
      <c r="T64" s="924">
        <f t="shared" si="24"/>
        <v>0</v>
      </c>
      <c r="U64" s="924">
        <f t="shared" si="25"/>
        <v>0</v>
      </c>
      <c r="V64" s="924">
        <f t="shared" si="25"/>
        <v>0</v>
      </c>
      <c r="W64" s="924">
        <f t="shared" si="25"/>
        <v>0</v>
      </c>
      <c r="X64" s="924">
        <f t="shared" si="25"/>
        <v>0</v>
      </c>
      <c r="Y64" s="112"/>
      <c r="Z64" s="924">
        <f t="shared" si="27"/>
        <v>0</v>
      </c>
      <c r="AA64" s="924">
        <f t="shared" si="27"/>
        <v>0</v>
      </c>
      <c r="AB64" s="924">
        <f t="shared" si="27"/>
        <v>0</v>
      </c>
      <c r="AC64" s="924">
        <f t="shared" si="27"/>
        <v>0</v>
      </c>
      <c r="AD64" s="924">
        <f t="shared" si="27"/>
        <v>0</v>
      </c>
      <c r="AE64" s="1231">
        <f t="shared" si="27"/>
        <v>0</v>
      </c>
      <c r="AF64" s="1231">
        <f t="shared" si="27"/>
        <v>0</v>
      </c>
      <c r="AH64" s="65"/>
    </row>
    <row r="65" spans="2:34" x14ac:dyDescent="0.3">
      <c r="B65" s="61"/>
      <c r="C65" s="114"/>
      <c r="D65" s="267"/>
      <c r="E65" s="267"/>
      <c r="F65" s="355"/>
      <c r="G65" s="105"/>
      <c r="H65" s="203"/>
      <c r="I65" s="105"/>
      <c r="J65" s="105"/>
      <c r="K65" s="112"/>
      <c r="L65" s="116">
        <f t="shared" si="12"/>
        <v>0</v>
      </c>
      <c r="M65" s="924">
        <f t="shared" si="19"/>
        <v>0</v>
      </c>
      <c r="N65" s="924">
        <f t="shared" si="20"/>
        <v>0</v>
      </c>
      <c r="O65" s="1008" t="str">
        <f t="shared" si="21"/>
        <v>-</v>
      </c>
      <c r="P65" s="924">
        <f t="shared" si="14"/>
        <v>0</v>
      </c>
      <c r="Q65" s="112"/>
      <c r="R65" s="924">
        <f t="shared" si="22"/>
        <v>0</v>
      </c>
      <c r="S65" s="924">
        <f t="shared" si="23"/>
        <v>0</v>
      </c>
      <c r="T65" s="924">
        <f t="shared" si="24"/>
        <v>0</v>
      </c>
      <c r="U65" s="924">
        <f t="shared" si="25"/>
        <v>0</v>
      </c>
      <c r="V65" s="924">
        <f t="shared" si="25"/>
        <v>0</v>
      </c>
      <c r="W65" s="924">
        <f t="shared" si="25"/>
        <v>0</v>
      </c>
      <c r="X65" s="924">
        <f t="shared" si="25"/>
        <v>0</v>
      </c>
      <c r="Y65" s="112"/>
      <c r="Z65" s="924">
        <f t="shared" si="27"/>
        <v>0</v>
      </c>
      <c r="AA65" s="924">
        <f t="shared" si="27"/>
        <v>0</v>
      </c>
      <c r="AB65" s="924">
        <f t="shared" si="27"/>
        <v>0</v>
      </c>
      <c r="AC65" s="924">
        <f t="shared" si="27"/>
        <v>0</v>
      </c>
      <c r="AD65" s="924">
        <f t="shared" si="27"/>
        <v>0</v>
      </c>
      <c r="AE65" s="1231">
        <f t="shared" si="27"/>
        <v>0</v>
      </c>
      <c r="AF65" s="1231">
        <f t="shared" si="27"/>
        <v>0</v>
      </c>
      <c r="AH65" s="65"/>
    </row>
    <row r="66" spans="2:34" x14ac:dyDescent="0.3">
      <c r="B66" s="61"/>
      <c r="C66" s="114"/>
      <c r="D66" s="267"/>
      <c r="E66" s="267"/>
      <c r="F66" s="355"/>
      <c r="G66" s="105"/>
      <c r="H66" s="203"/>
      <c r="I66" s="105"/>
      <c r="J66" s="105"/>
      <c r="K66" s="112"/>
      <c r="L66" s="116">
        <f t="shared" si="12"/>
        <v>0</v>
      </c>
      <c r="M66" s="924">
        <f t="shared" si="19"/>
        <v>0</v>
      </c>
      <c r="N66" s="924">
        <f t="shared" si="20"/>
        <v>0</v>
      </c>
      <c r="O66" s="1008" t="str">
        <f t="shared" si="21"/>
        <v>-</v>
      </c>
      <c r="P66" s="924">
        <f t="shared" si="14"/>
        <v>0</v>
      </c>
      <c r="Q66" s="112"/>
      <c r="R66" s="924">
        <f t="shared" si="22"/>
        <v>0</v>
      </c>
      <c r="S66" s="924">
        <f t="shared" si="23"/>
        <v>0</v>
      </c>
      <c r="T66" s="924">
        <f t="shared" si="24"/>
        <v>0</v>
      </c>
      <c r="U66" s="924">
        <f t="shared" si="25"/>
        <v>0</v>
      </c>
      <c r="V66" s="924">
        <f t="shared" si="25"/>
        <v>0</v>
      </c>
      <c r="W66" s="924">
        <f t="shared" si="25"/>
        <v>0</v>
      </c>
      <c r="X66" s="924">
        <f t="shared" si="25"/>
        <v>0</v>
      </c>
      <c r="Y66" s="112"/>
      <c r="Z66" s="924">
        <f t="shared" si="27"/>
        <v>0</v>
      </c>
      <c r="AA66" s="924">
        <f t="shared" si="27"/>
        <v>0</v>
      </c>
      <c r="AB66" s="924">
        <f t="shared" si="27"/>
        <v>0</v>
      </c>
      <c r="AC66" s="924">
        <f t="shared" si="27"/>
        <v>0</v>
      </c>
      <c r="AD66" s="924">
        <f t="shared" si="27"/>
        <v>0</v>
      </c>
      <c r="AE66" s="1231">
        <f t="shared" si="27"/>
        <v>0</v>
      </c>
      <c r="AF66" s="1231">
        <f t="shared" si="27"/>
        <v>0</v>
      </c>
      <c r="AH66" s="65"/>
    </row>
    <row r="67" spans="2:34" x14ac:dyDescent="0.3">
      <c r="B67" s="61"/>
      <c r="C67" s="114"/>
      <c r="D67" s="267"/>
      <c r="E67" s="267"/>
      <c r="F67" s="355"/>
      <c r="G67" s="105"/>
      <c r="H67" s="203"/>
      <c r="I67" s="105"/>
      <c r="J67" s="105"/>
      <c r="K67" s="112"/>
      <c r="L67" s="116">
        <f t="shared" ref="L67:L97" si="28">IF(J67="geen",9999999999,J67)</f>
        <v>0</v>
      </c>
      <c r="M67" s="924">
        <f t="shared" ref="M67:M97" si="29">G67*H67</f>
        <v>0</v>
      </c>
      <c r="N67" s="924">
        <f t="shared" ref="N67:N97" si="30">IF(G67=0,0,(G67*H67)/L67)</f>
        <v>0</v>
      </c>
      <c r="O67" s="1008" t="str">
        <f t="shared" ref="O67:O97" si="31">IF(L67=0,"-",(IF(L67&gt;3000,"-",I67+L67-1)))</f>
        <v>-</v>
      </c>
      <c r="P67" s="924">
        <f t="shared" si="14"/>
        <v>0</v>
      </c>
      <c r="Q67" s="112"/>
      <c r="R67" s="924">
        <f t="shared" si="22"/>
        <v>0</v>
      </c>
      <c r="S67" s="924">
        <f t="shared" si="23"/>
        <v>0</v>
      </c>
      <c r="T67" s="924">
        <f t="shared" si="24"/>
        <v>0</v>
      </c>
      <c r="U67" s="924">
        <f t="shared" si="25"/>
        <v>0</v>
      </c>
      <c r="V67" s="924">
        <f t="shared" si="25"/>
        <v>0</v>
      </c>
      <c r="W67" s="924">
        <f t="shared" si="25"/>
        <v>0</v>
      </c>
      <c r="X67" s="924">
        <f t="shared" si="25"/>
        <v>0</v>
      </c>
      <c r="Y67" s="112"/>
      <c r="Z67" s="924">
        <f t="shared" si="27"/>
        <v>0</v>
      </c>
      <c r="AA67" s="924">
        <f t="shared" si="27"/>
        <v>0</v>
      </c>
      <c r="AB67" s="924">
        <f t="shared" si="27"/>
        <v>0</v>
      </c>
      <c r="AC67" s="924">
        <f t="shared" si="27"/>
        <v>0</v>
      </c>
      <c r="AD67" s="924">
        <f t="shared" si="27"/>
        <v>0</v>
      </c>
      <c r="AE67" s="1231">
        <f t="shared" si="27"/>
        <v>0</v>
      </c>
      <c r="AF67" s="1231">
        <f t="shared" si="27"/>
        <v>0</v>
      </c>
      <c r="AH67" s="65"/>
    </row>
    <row r="68" spans="2:34" x14ac:dyDescent="0.3">
      <c r="B68" s="61"/>
      <c r="C68" s="114"/>
      <c r="D68" s="267"/>
      <c r="E68" s="267"/>
      <c r="F68" s="355"/>
      <c r="G68" s="105"/>
      <c r="H68" s="203"/>
      <c r="I68" s="105"/>
      <c r="J68" s="105"/>
      <c r="K68" s="112"/>
      <c r="L68" s="116">
        <f t="shared" si="28"/>
        <v>0</v>
      </c>
      <c r="M68" s="924">
        <f t="shared" si="29"/>
        <v>0</v>
      </c>
      <c r="N68" s="924">
        <f t="shared" si="30"/>
        <v>0</v>
      </c>
      <c r="O68" s="1008" t="str">
        <f t="shared" si="31"/>
        <v>-</v>
      </c>
      <c r="P68" s="924">
        <f t="shared" si="14"/>
        <v>0</v>
      </c>
      <c r="Q68" s="112"/>
      <c r="R68" s="924">
        <f t="shared" si="22"/>
        <v>0</v>
      </c>
      <c r="S68" s="924">
        <f t="shared" si="23"/>
        <v>0</v>
      </c>
      <c r="T68" s="924">
        <f t="shared" si="24"/>
        <v>0</v>
      </c>
      <c r="U68" s="924">
        <f t="shared" si="25"/>
        <v>0</v>
      </c>
      <c r="V68" s="924">
        <f t="shared" si="25"/>
        <v>0</v>
      </c>
      <c r="W68" s="924">
        <f t="shared" si="25"/>
        <v>0</v>
      </c>
      <c r="X68" s="924">
        <f t="shared" si="25"/>
        <v>0</v>
      </c>
      <c r="Y68" s="112"/>
      <c r="Z68" s="924">
        <f t="shared" si="27"/>
        <v>0</v>
      </c>
      <c r="AA68" s="924">
        <f t="shared" si="27"/>
        <v>0</v>
      </c>
      <c r="AB68" s="924">
        <f t="shared" si="27"/>
        <v>0</v>
      </c>
      <c r="AC68" s="924">
        <f t="shared" si="27"/>
        <v>0</v>
      </c>
      <c r="AD68" s="924">
        <f t="shared" si="27"/>
        <v>0</v>
      </c>
      <c r="AE68" s="1231">
        <f t="shared" si="27"/>
        <v>0</v>
      </c>
      <c r="AF68" s="1231">
        <f t="shared" si="27"/>
        <v>0</v>
      </c>
      <c r="AH68" s="65"/>
    </row>
    <row r="69" spans="2:34" x14ac:dyDescent="0.3">
      <c r="B69" s="61"/>
      <c r="C69" s="114"/>
      <c r="D69" s="267"/>
      <c r="E69" s="267"/>
      <c r="F69" s="355"/>
      <c r="G69" s="105"/>
      <c r="H69" s="203"/>
      <c r="I69" s="105"/>
      <c r="J69" s="105"/>
      <c r="K69" s="112"/>
      <c r="L69" s="116">
        <f t="shared" si="28"/>
        <v>0</v>
      </c>
      <c r="M69" s="924">
        <f t="shared" si="29"/>
        <v>0</v>
      </c>
      <c r="N69" s="924">
        <f t="shared" si="30"/>
        <v>0</v>
      </c>
      <c r="O69" s="1008" t="str">
        <f t="shared" si="31"/>
        <v>-</v>
      </c>
      <c r="P69" s="924">
        <f t="shared" si="14"/>
        <v>0</v>
      </c>
      <c r="Q69" s="112"/>
      <c r="R69" s="924">
        <f t="shared" si="22"/>
        <v>0</v>
      </c>
      <c r="S69" s="924">
        <f t="shared" si="23"/>
        <v>0</v>
      </c>
      <c r="T69" s="924">
        <f t="shared" si="24"/>
        <v>0</v>
      </c>
      <c r="U69" s="924">
        <f t="shared" si="25"/>
        <v>0</v>
      </c>
      <c r="V69" s="924">
        <f t="shared" si="25"/>
        <v>0</v>
      </c>
      <c r="W69" s="924">
        <f t="shared" si="25"/>
        <v>0</v>
      </c>
      <c r="X69" s="924">
        <f t="shared" si="25"/>
        <v>0</v>
      </c>
      <c r="Y69" s="112"/>
      <c r="Z69" s="924">
        <f t="shared" si="27"/>
        <v>0</v>
      </c>
      <c r="AA69" s="924">
        <f t="shared" si="27"/>
        <v>0</v>
      </c>
      <c r="AB69" s="924">
        <f t="shared" si="27"/>
        <v>0</v>
      </c>
      <c r="AC69" s="924">
        <f t="shared" si="27"/>
        <v>0</v>
      </c>
      <c r="AD69" s="924">
        <f t="shared" si="27"/>
        <v>0</v>
      </c>
      <c r="AE69" s="1231">
        <f t="shared" si="27"/>
        <v>0</v>
      </c>
      <c r="AF69" s="1231">
        <f t="shared" si="27"/>
        <v>0</v>
      </c>
      <c r="AH69" s="65"/>
    </row>
    <row r="70" spans="2:34" x14ac:dyDescent="0.3">
      <c r="B70" s="61"/>
      <c r="C70" s="114"/>
      <c r="D70" s="267"/>
      <c r="E70" s="267"/>
      <c r="F70" s="355"/>
      <c r="G70" s="105"/>
      <c r="H70" s="203"/>
      <c r="I70" s="105"/>
      <c r="J70" s="105"/>
      <c r="K70" s="112"/>
      <c r="L70" s="116">
        <f t="shared" si="28"/>
        <v>0</v>
      </c>
      <c r="M70" s="924">
        <f t="shared" si="29"/>
        <v>0</v>
      </c>
      <c r="N70" s="924">
        <f t="shared" si="30"/>
        <v>0</v>
      </c>
      <c r="O70" s="1008" t="str">
        <f t="shared" si="31"/>
        <v>-</v>
      </c>
      <c r="P70" s="924">
        <f t="shared" si="14"/>
        <v>0</v>
      </c>
      <c r="Q70" s="112"/>
      <c r="R70" s="924">
        <f t="shared" si="22"/>
        <v>0</v>
      </c>
      <c r="S70" s="924">
        <f t="shared" si="23"/>
        <v>0</v>
      </c>
      <c r="T70" s="924">
        <f t="shared" si="24"/>
        <v>0</v>
      </c>
      <c r="U70" s="924">
        <f t="shared" si="25"/>
        <v>0</v>
      </c>
      <c r="V70" s="924">
        <f t="shared" si="25"/>
        <v>0</v>
      </c>
      <c r="W70" s="924">
        <f t="shared" si="25"/>
        <v>0</v>
      </c>
      <c r="X70" s="924">
        <f t="shared" si="25"/>
        <v>0</v>
      </c>
      <c r="Y70" s="112"/>
      <c r="Z70" s="924">
        <f t="shared" si="27"/>
        <v>0</v>
      </c>
      <c r="AA70" s="924">
        <f t="shared" si="27"/>
        <v>0</v>
      </c>
      <c r="AB70" s="924">
        <f t="shared" si="27"/>
        <v>0</v>
      </c>
      <c r="AC70" s="924">
        <f t="shared" si="27"/>
        <v>0</v>
      </c>
      <c r="AD70" s="924">
        <f t="shared" si="27"/>
        <v>0</v>
      </c>
      <c r="AE70" s="1231">
        <f t="shared" si="27"/>
        <v>0</v>
      </c>
      <c r="AF70" s="1231">
        <f t="shared" si="27"/>
        <v>0</v>
      </c>
      <c r="AH70" s="65"/>
    </row>
    <row r="71" spans="2:34" x14ac:dyDescent="0.3">
      <c r="B71" s="61"/>
      <c r="C71" s="114"/>
      <c r="D71" s="267"/>
      <c r="E71" s="267"/>
      <c r="F71" s="355"/>
      <c r="G71" s="105"/>
      <c r="H71" s="203"/>
      <c r="I71" s="105"/>
      <c r="J71" s="105"/>
      <c r="K71" s="112"/>
      <c r="L71" s="116">
        <f t="shared" si="28"/>
        <v>0</v>
      </c>
      <c r="M71" s="924">
        <f t="shared" si="29"/>
        <v>0</v>
      </c>
      <c r="N71" s="924">
        <f t="shared" si="30"/>
        <v>0</v>
      </c>
      <c r="O71" s="1008" t="str">
        <f t="shared" si="31"/>
        <v>-</v>
      </c>
      <c r="P71" s="924">
        <f t="shared" si="14"/>
        <v>0</v>
      </c>
      <c r="Q71" s="112"/>
      <c r="R71" s="924">
        <f t="shared" si="22"/>
        <v>0</v>
      </c>
      <c r="S71" s="924">
        <f t="shared" si="23"/>
        <v>0</v>
      </c>
      <c r="T71" s="924">
        <f t="shared" si="24"/>
        <v>0</v>
      </c>
      <c r="U71" s="924">
        <f t="shared" si="25"/>
        <v>0</v>
      </c>
      <c r="V71" s="924">
        <f t="shared" si="25"/>
        <v>0</v>
      </c>
      <c r="W71" s="924">
        <f t="shared" si="25"/>
        <v>0</v>
      </c>
      <c r="X71" s="924">
        <f t="shared" si="25"/>
        <v>0</v>
      </c>
      <c r="Y71" s="112"/>
      <c r="Z71" s="924">
        <f t="shared" si="27"/>
        <v>0</v>
      </c>
      <c r="AA71" s="924">
        <f t="shared" si="27"/>
        <v>0</v>
      </c>
      <c r="AB71" s="924">
        <f t="shared" si="27"/>
        <v>0</v>
      </c>
      <c r="AC71" s="924">
        <f t="shared" si="27"/>
        <v>0</v>
      </c>
      <c r="AD71" s="924">
        <f t="shared" si="27"/>
        <v>0</v>
      </c>
      <c r="AE71" s="1231">
        <f t="shared" si="27"/>
        <v>0</v>
      </c>
      <c r="AF71" s="1231">
        <f t="shared" si="27"/>
        <v>0</v>
      </c>
      <c r="AH71" s="65"/>
    </row>
    <row r="72" spans="2:34" x14ac:dyDescent="0.3">
      <c r="B72" s="61"/>
      <c r="C72" s="114"/>
      <c r="D72" s="267"/>
      <c r="E72" s="267"/>
      <c r="F72" s="355"/>
      <c r="G72" s="105"/>
      <c r="H72" s="203"/>
      <c r="I72" s="105"/>
      <c r="J72" s="105"/>
      <c r="K72" s="112"/>
      <c r="L72" s="116">
        <f t="shared" si="28"/>
        <v>0</v>
      </c>
      <c r="M72" s="924">
        <f t="shared" si="29"/>
        <v>0</v>
      </c>
      <c r="N72" s="924">
        <f t="shared" si="30"/>
        <v>0</v>
      </c>
      <c r="O72" s="1008" t="str">
        <f t="shared" si="31"/>
        <v>-</v>
      </c>
      <c r="P72" s="924">
        <f t="shared" si="14"/>
        <v>0</v>
      </c>
      <c r="Q72" s="112"/>
      <c r="R72" s="924">
        <f t="shared" si="22"/>
        <v>0</v>
      </c>
      <c r="S72" s="924">
        <f t="shared" si="23"/>
        <v>0</v>
      </c>
      <c r="T72" s="924">
        <f t="shared" si="24"/>
        <v>0</v>
      </c>
      <c r="U72" s="924">
        <f t="shared" si="25"/>
        <v>0</v>
      </c>
      <c r="V72" s="924">
        <f t="shared" si="25"/>
        <v>0</v>
      </c>
      <c r="W72" s="924">
        <f t="shared" si="25"/>
        <v>0</v>
      </c>
      <c r="X72" s="924">
        <f t="shared" si="25"/>
        <v>0</v>
      </c>
      <c r="Y72" s="112"/>
      <c r="Z72" s="924">
        <f t="shared" si="27"/>
        <v>0</v>
      </c>
      <c r="AA72" s="924">
        <f t="shared" si="27"/>
        <v>0</v>
      </c>
      <c r="AB72" s="924">
        <f t="shared" si="27"/>
        <v>0</v>
      </c>
      <c r="AC72" s="924">
        <f t="shared" si="27"/>
        <v>0</v>
      </c>
      <c r="AD72" s="924">
        <f t="shared" si="27"/>
        <v>0</v>
      </c>
      <c r="AE72" s="1231">
        <f t="shared" si="27"/>
        <v>0</v>
      </c>
      <c r="AF72" s="1231">
        <f t="shared" si="27"/>
        <v>0</v>
      </c>
      <c r="AH72" s="65"/>
    </row>
    <row r="73" spans="2:34" x14ac:dyDescent="0.3">
      <c r="B73" s="61"/>
      <c r="C73" s="114"/>
      <c r="D73" s="267"/>
      <c r="E73" s="267"/>
      <c r="F73" s="355"/>
      <c r="G73" s="105"/>
      <c r="H73" s="203"/>
      <c r="I73" s="105"/>
      <c r="J73" s="105"/>
      <c r="K73" s="112"/>
      <c r="L73" s="116">
        <f t="shared" si="28"/>
        <v>0</v>
      </c>
      <c r="M73" s="924">
        <f t="shared" si="29"/>
        <v>0</v>
      </c>
      <c r="N73" s="924">
        <f t="shared" si="30"/>
        <v>0</v>
      </c>
      <c r="O73" s="1008" t="str">
        <f t="shared" si="31"/>
        <v>-</v>
      </c>
      <c r="P73" s="924">
        <f t="shared" si="14"/>
        <v>0</v>
      </c>
      <c r="Q73" s="112"/>
      <c r="R73" s="924">
        <f t="shared" si="22"/>
        <v>0</v>
      </c>
      <c r="S73" s="924">
        <f t="shared" si="23"/>
        <v>0</v>
      </c>
      <c r="T73" s="924">
        <f t="shared" si="24"/>
        <v>0</v>
      </c>
      <c r="U73" s="924">
        <f t="shared" ref="U73:X92" si="32">(IF(U$7&lt;$I73,0,IF($O73&lt;=U$7-1,0,$N73)))</f>
        <v>0</v>
      </c>
      <c r="V73" s="924">
        <f t="shared" si="32"/>
        <v>0</v>
      </c>
      <c r="W73" s="924">
        <f t="shared" si="32"/>
        <v>0</v>
      </c>
      <c r="X73" s="924">
        <f t="shared" si="32"/>
        <v>0</v>
      </c>
      <c r="Y73" s="112"/>
      <c r="Z73" s="924">
        <f t="shared" ref="Z73:AF82" si="33">IF(Z$7=$I73,($G73*$H73),0)</f>
        <v>0</v>
      </c>
      <c r="AA73" s="924">
        <f t="shared" si="33"/>
        <v>0</v>
      </c>
      <c r="AB73" s="924">
        <f t="shared" si="33"/>
        <v>0</v>
      </c>
      <c r="AC73" s="924">
        <f t="shared" si="33"/>
        <v>0</v>
      </c>
      <c r="AD73" s="924">
        <f t="shared" si="33"/>
        <v>0</v>
      </c>
      <c r="AE73" s="1231">
        <f t="shared" si="33"/>
        <v>0</v>
      </c>
      <c r="AF73" s="1231">
        <f t="shared" si="33"/>
        <v>0</v>
      </c>
      <c r="AH73" s="65"/>
    </row>
    <row r="74" spans="2:34" x14ac:dyDescent="0.3">
      <c r="B74" s="61"/>
      <c r="C74" s="114"/>
      <c r="D74" s="267"/>
      <c r="E74" s="267"/>
      <c r="F74" s="355"/>
      <c r="G74" s="105"/>
      <c r="H74" s="203"/>
      <c r="I74" s="105"/>
      <c r="J74" s="105"/>
      <c r="K74" s="112"/>
      <c r="L74" s="116">
        <f t="shared" si="28"/>
        <v>0</v>
      </c>
      <c r="M74" s="924">
        <f t="shared" si="29"/>
        <v>0</v>
      </c>
      <c r="N74" s="924">
        <f t="shared" si="30"/>
        <v>0</v>
      </c>
      <c r="O74" s="1008" t="str">
        <f t="shared" si="31"/>
        <v>-</v>
      </c>
      <c r="P74" s="924">
        <f t="shared" si="14"/>
        <v>0</v>
      </c>
      <c r="Q74" s="112"/>
      <c r="R74" s="924">
        <f t="shared" si="22"/>
        <v>0</v>
      </c>
      <c r="S74" s="924">
        <f t="shared" si="23"/>
        <v>0</v>
      </c>
      <c r="T74" s="924">
        <f t="shared" si="24"/>
        <v>0</v>
      </c>
      <c r="U74" s="924">
        <f t="shared" si="32"/>
        <v>0</v>
      </c>
      <c r="V74" s="924">
        <f t="shared" si="32"/>
        <v>0</v>
      </c>
      <c r="W74" s="924">
        <f t="shared" si="32"/>
        <v>0</v>
      </c>
      <c r="X74" s="924">
        <f t="shared" si="32"/>
        <v>0</v>
      </c>
      <c r="Y74" s="112"/>
      <c r="Z74" s="924">
        <f t="shared" si="33"/>
        <v>0</v>
      </c>
      <c r="AA74" s="924">
        <f t="shared" si="33"/>
        <v>0</v>
      </c>
      <c r="AB74" s="924">
        <f t="shared" si="33"/>
        <v>0</v>
      </c>
      <c r="AC74" s="924">
        <f t="shared" si="33"/>
        <v>0</v>
      </c>
      <c r="AD74" s="924">
        <f t="shared" si="33"/>
        <v>0</v>
      </c>
      <c r="AE74" s="1231">
        <f t="shared" si="33"/>
        <v>0</v>
      </c>
      <c r="AF74" s="1231">
        <f t="shared" si="33"/>
        <v>0</v>
      </c>
      <c r="AH74" s="65"/>
    </row>
    <row r="75" spans="2:34" x14ac:dyDescent="0.3">
      <c r="B75" s="61"/>
      <c r="C75" s="114"/>
      <c r="D75" s="267"/>
      <c r="E75" s="267"/>
      <c r="F75" s="355"/>
      <c r="G75" s="105"/>
      <c r="H75" s="203"/>
      <c r="I75" s="105"/>
      <c r="J75" s="105"/>
      <c r="K75" s="112"/>
      <c r="L75" s="116">
        <f t="shared" si="28"/>
        <v>0</v>
      </c>
      <c r="M75" s="924">
        <f t="shared" si="29"/>
        <v>0</v>
      </c>
      <c r="N75" s="924">
        <f t="shared" si="30"/>
        <v>0</v>
      </c>
      <c r="O75" s="1008" t="str">
        <f t="shared" si="31"/>
        <v>-</v>
      </c>
      <c r="P75" s="924">
        <f t="shared" si="14"/>
        <v>0</v>
      </c>
      <c r="Q75" s="112"/>
      <c r="R75" s="924">
        <f t="shared" si="22"/>
        <v>0</v>
      </c>
      <c r="S75" s="924">
        <f t="shared" si="23"/>
        <v>0</v>
      </c>
      <c r="T75" s="924">
        <f t="shared" si="24"/>
        <v>0</v>
      </c>
      <c r="U75" s="924">
        <f t="shared" si="32"/>
        <v>0</v>
      </c>
      <c r="V75" s="924">
        <f t="shared" si="32"/>
        <v>0</v>
      </c>
      <c r="W75" s="924">
        <f t="shared" si="32"/>
        <v>0</v>
      </c>
      <c r="X75" s="924">
        <f t="shared" si="32"/>
        <v>0</v>
      </c>
      <c r="Y75" s="112"/>
      <c r="Z75" s="924">
        <f t="shared" si="33"/>
        <v>0</v>
      </c>
      <c r="AA75" s="924">
        <f t="shared" si="33"/>
        <v>0</v>
      </c>
      <c r="AB75" s="924">
        <f t="shared" si="33"/>
        <v>0</v>
      </c>
      <c r="AC75" s="924">
        <f t="shared" si="33"/>
        <v>0</v>
      </c>
      <c r="AD75" s="924">
        <f t="shared" si="33"/>
        <v>0</v>
      </c>
      <c r="AE75" s="1231">
        <f t="shared" si="33"/>
        <v>0</v>
      </c>
      <c r="AF75" s="1231">
        <f t="shared" si="33"/>
        <v>0</v>
      </c>
      <c r="AH75" s="65"/>
    </row>
    <row r="76" spans="2:34" x14ac:dyDescent="0.3">
      <c r="B76" s="61"/>
      <c r="C76" s="114"/>
      <c r="D76" s="267"/>
      <c r="E76" s="267"/>
      <c r="F76" s="355"/>
      <c r="G76" s="105"/>
      <c r="H76" s="203"/>
      <c r="I76" s="105"/>
      <c r="J76" s="105"/>
      <c r="K76" s="112"/>
      <c r="L76" s="116">
        <f t="shared" si="28"/>
        <v>0</v>
      </c>
      <c r="M76" s="924">
        <f t="shared" si="29"/>
        <v>0</v>
      </c>
      <c r="N76" s="924">
        <f t="shared" si="30"/>
        <v>0</v>
      </c>
      <c r="O76" s="1008" t="str">
        <f t="shared" si="31"/>
        <v>-</v>
      </c>
      <c r="P76" s="924">
        <f t="shared" si="14"/>
        <v>0</v>
      </c>
      <c r="Q76" s="112"/>
      <c r="R76" s="924">
        <f t="shared" si="22"/>
        <v>0</v>
      </c>
      <c r="S76" s="924">
        <f t="shared" si="23"/>
        <v>0</v>
      </c>
      <c r="T76" s="924">
        <f t="shared" si="24"/>
        <v>0</v>
      </c>
      <c r="U76" s="924">
        <f t="shared" si="32"/>
        <v>0</v>
      </c>
      <c r="V76" s="924">
        <f t="shared" si="32"/>
        <v>0</v>
      </c>
      <c r="W76" s="924">
        <f t="shared" si="32"/>
        <v>0</v>
      </c>
      <c r="X76" s="924">
        <f t="shared" si="32"/>
        <v>0</v>
      </c>
      <c r="Y76" s="112"/>
      <c r="Z76" s="924">
        <f t="shared" si="33"/>
        <v>0</v>
      </c>
      <c r="AA76" s="924">
        <f t="shared" si="33"/>
        <v>0</v>
      </c>
      <c r="AB76" s="924">
        <f t="shared" si="33"/>
        <v>0</v>
      </c>
      <c r="AC76" s="924">
        <f t="shared" si="33"/>
        <v>0</v>
      </c>
      <c r="AD76" s="924">
        <f t="shared" si="33"/>
        <v>0</v>
      </c>
      <c r="AE76" s="1231">
        <f t="shared" si="33"/>
        <v>0</v>
      </c>
      <c r="AF76" s="1231">
        <f t="shared" si="33"/>
        <v>0</v>
      </c>
      <c r="AH76" s="65"/>
    </row>
    <row r="77" spans="2:34" x14ac:dyDescent="0.3">
      <c r="B77" s="61"/>
      <c r="C77" s="114"/>
      <c r="D77" s="267"/>
      <c r="E77" s="267"/>
      <c r="F77" s="355"/>
      <c r="G77" s="105"/>
      <c r="H77" s="203"/>
      <c r="I77" s="105"/>
      <c r="J77" s="105"/>
      <c r="K77" s="112"/>
      <c r="L77" s="116">
        <f t="shared" si="28"/>
        <v>0</v>
      </c>
      <c r="M77" s="924">
        <f t="shared" si="29"/>
        <v>0</v>
      </c>
      <c r="N77" s="924">
        <f t="shared" si="30"/>
        <v>0</v>
      </c>
      <c r="O77" s="1008" t="str">
        <f t="shared" si="31"/>
        <v>-</v>
      </c>
      <c r="P77" s="924">
        <f t="shared" si="14"/>
        <v>0</v>
      </c>
      <c r="Q77" s="112"/>
      <c r="R77" s="924">
        <f t="shared" si="22"/>
        <v>0</v>
      </c>
      <c r="S77" s="924">
        <f t="shared" si="23"/>
        <v>0</v>
      </c>
      <c r="T77" s="924">
        <f t="shared" si="24"/>
        <v>0</v>
      </c>
      <c r="U77" s="924">
        <f t="shared" si="32"/>
        <v>0</v>
      </c>
      <c r="V77" s="924">
        <f t="shared" si="32"/>
        <v>0</v>
      </c>
      <c r="W77" s="924">
        <f t="shared" si="32"/>
        <v>0</v>
      </c>
      <c r="X77" s="924">
        <f t="shared" si="32"/>
        <v>0</v>
      </c>
      <c r="Y77" s="112"/>
      <c r="Z77" s="924">
        <f t="shared" si="33"/>
        <v>0</v>
      </c>
      <c r="AA77" s="924">
        <f t="shared" si="33"/>
        <v>0</v>
      </c>
      <c r="AB77" s="924">
        <f t="shared" si="33"/>
        <v>0</v>
      </c>
      <c r="AC77" s="924">
        <f t="shared" si="33"/>
        <v>0</v>
      </c>
      <c r="AD77" s="924">
        <f t="shared" si="33"/>
        <v>0</v>
      </c>
      <c r="AE77" s="1231">
        <f t="shared" si="33"/>
        <v>0</v>
      </c>
      <c r="AF77" s="1231">
        <f t="shared" si="33"/>
        <v>0</v>
      </c>
      <c r="AH77" s="65"/>
    </row>
    <row r="78" spans="2:34" x14ac:dyDescent="0.3">
      <c r="B78" s="61"/>
      <c r="C78" s="114"/>
      <c r="D78" s="267"/>
      <c r="E78" s="267"/>
      <c r="F78" s="355"/>
      <c r="G78" s="105"/>
      <c r="H78" s="203"/>
      <c r="I78" s="105"/>
      <c r="J78" s="105"/>
      <c r="K78" s="112"/>
      <c r="L78" s="116">
        <f t="shared" si="28"/>
        <v>0</v>
      </c>
      <c r="M78" s="924">
        <f t="shared" si="29"/>
        <v>0</v>
      </c>
      <c r="N78" s="924">
        <f t="shared" si="30"/>
        <v>0</v>
      </c>
      <c r="O78" s="1008" t="str">
        <f t="shared" si="31"/>
        <v>-</v>
      </c>
      <c r="P78" s="924">
        <f t="shared" ref="P78:P141" si="34">IF(J78="geen",IF(I78&lt;$R$7,G78*H78,0),IF(I78&gt;=$R$7,0,IF((H78*G78-(R$7-I78)*N78)&lt;0,0,H78*G78-(R$7-I78)*N78)))</f>
        <v>0</v>
      </c>
      <c r="Q78" s="112"/>
      <c r="R78" s="924">
        <f t="shared" si="22"/>
        <v>0</v>
      </c>
      <c r="S78" s="924">
        <f t="shared" si="23"/>
        <v>0</v>
      </c>
      <c r="T78" s="924">
        <f t="shared" si="24"/>
        <v>0</v>
      </c>
      <c r="U78" s="924">
        <f t="shared" si="32"/>
        <v>0</v>
      </c>
      <c r="V78" s="924">
        <f t="shared" si="32"/>
        <v>0</v>
      </c>
      <c r="W78" s="924">
        <f t="shared" si="32"/>
        <v>0</v>
      </c>
      <c r="X78" s="924">
        <f t="shared" si="32"/>
        <v>0</v>
      </c>
      <c r="Y78" s="112"/>
      <c r="Z78" s="924">
        <f t="shared" si="33"/>
        <v>0</v>
      </c>
      <c r="AA78" s="924">
        <f t="shared" si="33"/>
        <v>0</v>
      </c>
      <c r="AB78" s="924">
        <f t="shared" si="33"/>
        <v>0</v>
      </c>
      <c r="AC78" s="924">
        <f t="shared" si="33"/>
        <v>0</v>
      </c>
      <c r="AD78" s="924">
        <f t="shared" si="33"/>
        <v>0</v>
      </c>
      <c r="AE78" s="1231">
        <f t="shared" si="33"/>
        <v>0</v>
      </c>
      <c r="AF78" s="1231">
        <f t="shared" si="33"/>
        <v>0</v>
      </c>
      <c r="AH78" s="65"/>
    </row>
    <row r="79" spans="2:34" x14ac:dyDescent="0.3">
      <c r="B79" s="61"/>
      <c r="C79" s="114"/>
      <c r="D79" s="267"/>
      <c r="E79" s="267"/>
      <c r="F79" s="355"/>
      <c r="G79" s="105"/>
      <c r="H79" s="203"/>
      <c r="I79" s="105"/>
      <c r="J79" s="105"/>
      <c r="K79" s="112"/>
      <c r="L79" s="116">
        <f t="shared" si="28"/>
        <v>0</v>
      </c>
      <c r="M79" s="924">
        <f t="shared" si="29"/>
        <v>0</v>
      </c>
      <c r="N79" s="924">
        <f t="shared" si="30"/>
        <v>0</v>
      </c>
      <c r="O79" s="1008" t="str">
        <f t="shared" si="31"/>
        <v>-</v>
      </c>
      <c r="P79" s="924">
        <f t="shared" si="34"/>
        <v>0</v>
      </c>
      <c r="Q79" s="112"/>
      <c r="R79" s="924">
        <f t="shared" si="22"/>
        <v>0</v>
      </c>
      <c r="S79" s="924">
        <f t="shared" si="23"/>
        <v>0</v>
      </c>
      <c r="T79" s="924">
        <f t="shared" si="24"/>
        <v>0</v>
      </c>
      <c r="U79" s="924">
        <f t="shared" si="32"/>
        <v>0</v>
      </c>
      <c r="V79" s="924">
        <f t="shared" si="32"/>
        <v>0</v>
      </c>
      <c r="W79" s="924">
        <f t="shared" si="32"/>
        <v>0</v>
      </c>
      <c r="X79" s="924">
        <f t="shared" si="32"/>
        <v>0</v>
      </c>
      <c r="Y79" s="112"/>
      <c r="Z79" s="924">
        <f t="shared" si="33"/>
        <v>0</v>
      </c>
      <c r="AA79" s="924">
        <f t="shared" si="33"/>
        <v>0</v>
      </c>
      <c r="AB79" s="924">
        <f t="shared" si="33"/>
        <v>0</v>
      </c>
      <c r="AC79" s="924">
        <f t="shared" si="33"/>
        <v>0</v>
      </c>
      <c r="AD79" s="924">
        <f t="shared" si="33"/>
        <v>0</v>
      </c>
      <c r="AE79" s="1231">
        <f t="shared" si="33"/>
        <v>0</v>
      </c>
      <c r="AF79" s="1231">
        <f t="shared" si="33"/>
        <v>0</v>
      </c>
      <c r="AH79" s="65"/>
    </row>
    <row r="80" spans="2:34" x14ac:dyDescent="0.3">
      <c r="B80" s="61"/>
      <c r="C80" s="114"/>
      <c r="D80" s="267"/>
      <c r="E80" s="267"/>
      <c r="F80" s="355"/>
      <c r="G80" s="105"/>
      <c r="H80" s="203"/>
      <c r="I80" s="105"/>
      <c r="J80" s="105"/>
      <c r="K80" s="112"/>
      <c r="L80" s="116">
        <f t="shared" si="28"/>
        <v>0</v>
      </c>
      <c r="M80" s="924">
        <f t="shared" si="29"/>
        <v>0</v>
      </c>
      <c r="N80" s="924">
        <f t="shared" si="30"/>
        <v>0</v>
      </c>
      <c r="O80" s="1008" t="str">
        <f t="shared" si="31"/>
        <v>-</v>
      </c>
      <c r="P80" s="924">
        <f t="shared" si="34"/>
        <v>0</v>
      </c>
      <c r="Q80" s="112"/>
      <c r="R80" s="924">
        <f t="shared" si="22"/>
        <v>0</v>
      </c>
      <c r="S80" s="924">
        <f t="shared" si="23"/>
        <v>0</v>
      </c>
      <c r="T80" s="924">
        <f t="shared" si="24"/>
        <v>0</v>
      </c>
      <c r="U80" s="924">
        <f t="shared" si="32"/>
        <v>0</v>
      </c>
      <c r="V80" s="924">
        <f t="shared" si="32"/>
        <v>0</v>
      </c>
      <c r="W80" s="924">
        <f t="shared" si="32"/>
        <v>0</v>
      </c>
      <c r="X80" s="924">
        <f t="shared" si="32"/>
        <v>0</v>
      </c>
      <c r="Y80" s="112"/>
      <c r="Z80" s="924">
        <f t="shared" si="33"/>
        <v>0</v>
      </c>
      <c r="AA80" s="924">
        <f t="shared" si="33"/>
        <v>0</v>
      </c>
      <c r="AB80" s="924">
        <f t="shared" si="33"/>
        <v>0</v>
      </c>
      <c r="AC80" s="924">
        <f t="shared" si="33"/>
        <v>0</v>
      </c>
      <c r="AD80" s="924">
        <f t="shared" si="33"/>
        <v>0</v>
      </c>
      <c r="AE80" s="1231">
        <f t="shared" si="33"/>
        <v>0</v>
      </c>
      <c r="AF80" s="1231">
        <f t="shared" si="33"/>
        <v>0</v>
      </c>
      <c r="AH80" s="65"/>
    </row>
    <row r="81" spans="2:34" x14ac:dyDescent="0.3">
      <c r="B81" s="61"/>
      <c r="C81" s="114"/>
      <c r="D81" s="267"/>
      <c r="E81" s="267"/>
      <c r="F81" s="355"/>
      <c r="G81" s="105"/>
      <c r="H81" s="203"/>
      <c r="I81" s="105"/>
      <c r="J81" s="105"/>
      <c r="K81" s="112"/>
      <c r="L81" s="116">
        <f t="shared" si="28"/>
        <v>0</v>
      </c>
      <c r="M81" s="924">
        <f t="shared" si="29"/>
        <v>0</v>
      </c>
      <c r="N81" s="924">
        <f t="shared" si="30"/>
        <v>0</v>
      </c>
      <c r="O81" s="1008" t="str">
        <f t="shared" si="31"/>
        <v>-</v>
      </c>
      <c r="P81" s="924">
        <f t="shared" si="34"/>
        <v>0</v>
      </c>
      <c r="Q81" s="112"/>
      <c r="R81" s="924">
        <f t="shared" si="22"/>
        <v>0</v>
      </c>
      <c r="S81" s="924">
        <f t="shared" si="23"/>
        <v>0</v>
      </c>
      <c r="T81" s="924">
        <f t="shared" si="24"/>
        <v>0</v>
      </c>
      <c r="U81" s="924">
        <f t="shared" si="32"/>
        <v>0</v>
      </c>
      <c r="V81" s="924">
        <f t="shared" si="32"/>
        <v>0</v>
      </c>
      <c r="W81" s="924">
        <f t="shared" si="32"/>
        <v>0</v>
      </c>
      <c r="X81" s="924">
        <f t="shared" si="32"/>
        <v>0</v>
      </c>
      <c r="Y81" s="112"/>
      <c r="Z81" s="924">
        <f t="shared" si="33"/>
        <v>0</v>
      </c>
      <c r="AA81" s="924">
        <f t="shared" si="33"/>
        <v>0</v>
      </c>
      <c r="AB81" s="924">
        <f t="shared" si="33"/>
        <v>0</v>
      </c>
      <c r="AC81" s="924">
        <f t="shared" si="33"/>
        <v>0</v>
      </c>
      <c r="AD81" s="924">
        <f t="shared" si="33"/>
        <v>0</v>
      </c>
      <c r="AE81" s="1231">
        <f t="shared" si="33"/>
        <v>0</v>
      </c>
      <c r="AF81" s="1231">
        <f t="shared" si="33"/>
        <v>0</v>
      </c>
      <c r="AH81" s="65"/>
    </row>
    <row r="82" spans="2:34" x14ac:dyDescent="0.3">
      <c r="B82" s="61"/>
      <c r="C82" s="114"/>
      <c r="D82" s="267"/>
      <c r="E82" s="267"/>
      <c r="F82" s="355"/>
      <c r="G82" s="105"/>
      <c r="H82" s="203"/>
      <c r="I82" s="105"/>
      <c r="J82" s="105"/>
      <c r="K82" s="112"/>
      <c r="L82" s="116">
        <f t="shared" si="28"/>
        <v>0</v>
      </c>
      <c r="M82" s="924">
        <f t="shared" si="29"/>
        <v>0</v>
      </c>
      <c r="N82" s="924">
        <f t="shared" si="30"/>
        <v>0</v>
      </c>
      <c r="O82" s="1008" t="str">
        <f t="shared" si="31"/>
        <v>-</v>
      </c>
      <c r="P82" s="924">
        <f t="shared" si="34"/>
        <v>0</v>
      </c>
      <c r="Q82" s="112"/>
      <c r="R82" s="924">
        <f t="shared" si="22"/>
        <v>0</v>
      </c>
      <c r="S82" s="924">
        <f t="shared" si="23"/>
        <v>0</v>
      </c>
      <c r="T82" s="924">
        <f t="shared" si="24"/>
        <v>0</v>
      </c>
      <c r="U82" s="924">
        <f t="shared" si="32"/>
        <v>0</v>
      </c>
      <c r="V82" s="924">
        <f t="shared" si="32"/>
        <v>0</v>
      </c>
      <c r="W82" s="924">
        <f t="shared" si="32"/>
        <v>0</v>
      </c>
      <c r="X82" s="924">
        <f t="shared" si="32"/>
        <v>0</v>
      </c>
      <c r="Y82" s="112"/>
      <c r="Z82" s="924">
        <f t="shared" si="33"/>
        <v>0</v>
      </c>
      <c r="AA82" s="924">
        <f t="shared" si="33"/>
        <v>0</v>
      </c>
      <c r="AB82" s="924">
        <f t="shared" si="33"/>
        <v>0</v>
      </c>
      <c r="AC82" s="924">
        <f t="shared" si="33"/>
        <v>0</v>
      </c>
      <c r="AD82" s="924">
        <f t="shared" si="33"/>
        <v>0</v>
      </c>
      <c r="AE82" s="1231">
        <f t="shared" si="33"/>
        <v>0</v>
      </c>
      <c r="AF82" s="1231">
        <f t="shared" si="33"/>
        <v>0</v>
      </c>
      <c r="AH82" s="65"/>
    </row>
    <row r="83" spans="2:34" x14ac:dyDescent="0.3">
      <c r="B83" s="61"/>
      <c r="C83" s="114"/>
      <c r="D83" s="267"/>
      <c r="E83" s="267"/>
      <c r="F83" s="355"/>
      <c r="G83" s="105"/>
      <c r="H83" s="203"/>
      <c r="I83" s="105"/>
      <c r="J83" s="105"/>
      <c r="K83" s="112"/>
      <c r="L83" s="116">
        <f t="shared" si="28"/>
        <v>0</v>
      </c>
      <c r="M83" s="924">
        <f t="shared" si="29"/>
        <v>0</v>
      </c>
      <c r="N83" s="924">
        <f t="shared" si="30"/>
        <v>0</v>
      </c>
      <c r="O83" s="1008" t="str">
        <f t="shared" si="31"/>
        <v>-</v>
      </c>
      <c r="P83" s="924">
        <f t="shared" si="34"/>
        <v>0</v>
      </c>
      <c r="Q83" s="112"/>
      <c r="R83" s="924">
        <f t="shared" si="22"/>
        <v>0</v>
      </c>
      <c r="S83" s="924">
        <f t="shared" si="23"/>
        <v>0</v>
      </c>
      <c r="T83" s="924">
        <f t="shared" si="24"/>
        <v>0</v>
      </c>
      <c r="U83" s="924">
        <f t="shared" si="32"/>
        <v>0</v>
      </c>
      <c r="V83" s="924">
        <f t="shared" si="32"/>
        <v>0</v>
      </c>
      <c r="W83" s="924">
        <f t="shared" si="32"/>
        <v>0</v>
      </c>
      <c r="X83" s="924">
        <f t="shared" si="32"/>
        <v>0</v>
      </c>
      <c r="Y83" s="112"/>
      <c r="Z83" s="924">
        <f t="shared" ref="Z83:AF95" si="35">IF(Z$7=$I83,($G83*$H83),0)</f>
        <v>0</v>
      </c>
      <c r="AA83" s="924">
        <f t="shared" si="35"/>
        <v>0</v>
      </c>
      <c r="AB83" s="924">
        <f t="shared" si="35"/>
        <v>0</v>
      </c>
      <c r="AC83" s="924">
        <f t="shared" si="35"/>
        <v>0</v>
      </c>
      <c r="AD83" s="924">
        <f t="shared" si="35"/>
        <v>0</v>
      </c>
      <c r="AE83" s="1231">
        <f t="shared" si="35"/>
        <v>0</v>
      </c>
      <c r="AF83" s="1231">
        <f t="shared" si="35"/>
        <v>0</v>
      </c>
      <c r="AH83" s="65"/>
    </row>
    <row r="84" spans="2:34" x14ac:dyDescent="0.3">
      <c r="B84" s="61"/>
      <c r="C84" s="114"/>
      <c r="D84" s="267"/>
      <c r="E84" s="267"/>
      <c r="F84" s="355"/>
      <c r="G84" s="105"/>
      <c r="H84" s="203"/>
      <c r="I84" s="105"/>
      <c r="J84" s="105"/>
      <c r="K84" s="112"/>
      <c r="L84" s="116">
        <f t="shared" si="28"/>
        <v>0</v>
      </c>
      <c r="M84" s="924">
        <f t="shared" si="29"/>
        <v>0</v>
      </c>
      <c r="N84" s="924">
        <f t="shared" si="30"/>
        <v>0</v>
      </c>
      <c r="O84" s="1008" t="str">
        <f t="shared" si="31"/>
        <v>-</v>
      </c>
      <c r="P84" s="924">
        <f t="shared" si="34"/>
        <v>0</v>
      </c>
      <c r="Q84" s="112"/>
      <c r="R84" s="924">
        <f t="shared" si="22"/>
        <v>0</v>
      </c>
      <c r="S84" s="924">
        <f t="shared" si="23"/>
        <v>0</v>
      </c>
      <c r="T84" s="924">
        <f t="shared" si="24"/>
        <v>0</v>
      </c>
      <c r="U84" s="924">
        <f t="shared" si="32"/>
        <v>0</v>
      </c>
      <c r="V84" s="924">
        <f t="shared" si="32"/>
        <v>0</v>
      </c>
      <c r="W84" s="924">
        <f t="shared" si="32"/>
        <v>0</v>
      </c>
      <c r="X84" s="924">
        <f t="shared" si="32"/>
        <v>0</v>
      </c>
      <c r="Y84" s="112"/>
      <c r="Z84" s="924">
        <f t="shared" si="35"/>
        <v>0</v>
      </c>
      <c r="AA84" s="924">
        <f t="shared" si="35"/>
        <v>0</v>
      </c>
      <c r="AB84" s="924">
        <f t="shared" si="35"/>
        <v>0</v>
      </c>
      <c r="AC84" s="924">
        <f t="shared" si="35"/>
        <v>0</v>
      </c>
      <c r="AD84" s="924">
        <f t="shared" si="35"/>
        <v>0</v>
      </c>
      <c r="AE84" s="1231">
        <f t="shared" si="35"/>
        <v>0</v>
      </c>
      <c r="AF84" s="1231">
        <f t="shared" si="35"/>
        <v>0</v>
      </c>
      <c r="AH84" s="65"/>
    </row>
    <row r="85" spans="2:34" x14ac:dyDescent="0.3">
      <c r="B85" s="61"/>
      <c r="C85" s="114"/>
      <c r="D85" s="267"/>
      <c r="E85" s="267"/>
      <c r="F85" s="355"/>
      <c r="G85" s="105"/>
      <c r="H85" s="203"/>
      <c r="I85" s="105"/>
      <c r="J85" s="105"/>
      <c r="K85" s="112"/>
      <c r="L85" s="116">
        <f t="shared" si="28"/>
        <v>0</v>
      </c>
      <c r="M85" s="924">
        <f t="shared" si="29"/>
        <v>0</v>
      </c>
      <c r="N85" s="924">
        <f t="shared" si="30"/>
        <v>0</v>
      </c>
      <c r="O85" s="1008" t="str">
        <f t="shared" si="31"/>
        <v>-</v>
      </c>
      <c r="P85" s="924">
        <f t="shared" si="34"/>
        <v>0</v>
      </c>
      <c r="Q85" s="112"/>
      <c r="R85" s="924">
        <f t="shared" si="22"/>
        <v>0</v>
      </c>
      <c r="S85" s="924">
        <f t="shared" si="23"/>
        <v>0</v>
      </c>
      <c r="T85" s="924">
        <f t="shared" si="24"/>
        <v>0</v>
      </c>
      <c r="U85" s="924">
        <f t="shared" si="32"/>
        <v>0</v>
      </c>
      <c r="V85" s="924">
        <f t="shared" si="32"/>
        <v>0</v>
      </c>
      <c r="W85" s="924">
        <f t="shared" si="32"/>
        <v>0</v>
      </c>
      <c r="X85" s="924">
        <f t="shared" si="32"/>
        <v>0</v>
      </c>
      <c r="Y85" s="112"/>
      <c r="Z85" s="924">
        <f t="shared" si="35"/>
        <v>0</v>
      </c>
      <c r="AA85" s="924">
        <f t="shared" si="35"/>
        <v>0</v>
      </c>
      <c r="AB85" s="924">
        <f t="shared" si="35"/>
        <v>0</v>
      </c>
      <c r="AC85" s="924">
        <f t="shared" si="35"/>
        <v>0</v>
      </c>
      <c r="AD85" s="924">
        <f t="shared" si="35"/>
        <v>0</v>
      </c>
      <c r="AE85" s="1231">
        <f t="shared" si="35"/>
        <v>0</v>
      </c>
      <c r="AF85" s="1231">
        <f t="shared" si="35"/>
        <v>0</v>
      </c>
      <c r="AH85" s="65"/>
    </row>
    <row r="86" spans="2:34" x14ac:dyDescent="0.3">
      <c r="B86" s="61"/>
      <c r="C86" s="114"/>
      <c r="D86" s="267"/>
      <c r="E86" s="267"/>
      <c r="F86" s="355"/>
      <c r="G86" s="105"/>
      <c r="H86" s="203"/>
      <c r="I86" s="105"/>
      <c r="J86" s="105"/>
      <c r="K86" s="112"/>
      <c r="L86" s="116">
        <f t="shared" si="28"/>
        <v>0</v>
      </c>
      <c r="M86" s="924">
        <f t="shared" si="29"/>
        <v>0</v>
      </c>
      <c r="N86" s="924">
        <f t="shared" si="30"/>
        <v>0</v>
      </c>
      <c r="O86" s="1008" t="str">
        <f t="shared" si="31"/>
        <v>-</v>
      </c>
      <c r="P86" s="924">
        <f t="shared" si="34"/>
        <v>0</v>
      </c>
      <c r="Q86" s="112"/>
      <c r="R86" s="924">
        <f t="shared" si="22"/>
        <v>0</v>
      </c>
      <c r="S86" s="924">
        <f t="shared" si="23"/>
        <v>0</v>
      </c>
      <c r="T86" s="924">
        <f t="shared" si="24"/>
        <v>0</v>
      </c>
      <c r="U86" s="924">
        <f t="shared" si="32"/>
        <v>0</v>
      </c>
      <c r="V86" s="924">
        <f t="shared" si="32"/>
        <v>0</v>
      </c>
      <c r="W86" s="924">
        <f t="shared" si="32"/>
        <v>0</v>
      </c>
      <c r="X86" s="924">
        <f t="shared" si="32"/>
        <v>0</v>
      </c>
      <c r="Y86" s="112"/>
      <c r="Z86" s="924">
        <f t="shared" si="35"/>
        <v>0</v>
      </c>
      <c r="AA86" s="924">
        <f t="shared" si="35"/>
        <v>0</v>
      </c>
      <c r="AB86" s="924">
        <f t="shared" si="35"/>
        <v>0</v>
      </c>
      <c r="AC86" s="924">
        <f t="shared" si="35"/>
        <v>0</v>
      </c>
      <c r="AD86" s="924">
        <f t="shared" si="35"/>
        <v>0</v>
      </c>
      <c r="AE86" s="1231">
        <f t="shared" si="35"/>
        <v>0</v>
      </c>
      <c r="AF86" s="1231">
        <f t="shared" si="35"/>
        <v>0</v>
      </c>
      <c r="AH86" s="65"/>
    </row>
    <row r="87" spans="2:34" x14ac:dyDescent="0.3">
      <c r="B87" s="61"/>
      <c r="C87" s="114"/>
      <c r="D87" s="267"/>
      <c r="E87" s="267"/>
      <c r="F87" s="355"/>
      <c r="G87" s="105"/>
      <c r="H87" s="203"/>
      <c r="I87" s="105"/>
      <c r="J87" s="105"/>
      <c r="K87" s="112"/>
      <c r="L87" s="116">
        <f t="shared" si="28"/>
        <v>0</v>
      </c>
      <c r="M87" s="924">
        <f t="shared" si="29"/>
        <v>0</v>
      </c>
      <c r="N87" s="924">
        <f t="shared" si="30"/>
        <v>0</v>
      </c>
      <c r="O87" s="1008" t="str">
        <f t="shared" si="31"/>
        <v>-</v>
      </c>
      <c r="P87" s="924">
        <f t="shared" si="34"/>
        <v>0</v>
      </c>
      <c r="Q87" s="112"/>
      <c r="R87" s="924">
        <f t="shared" si="22"/>
        <v>0</v>
      </c>
      <c r="S87" s="924">
        <f t="shared" si="23"/>
        <v>0</v>
      </c>
      <c r="T87" s="924">
        <f t="shared" si="24"/>
        <v>0</v>
      </c>
      <c r="U87" s="924">
        <f t="shared" si="32"/>
        <v>0</v>
      </c>
      <c r="V87" s="924">
        <f t="shared" si="32"/>
        <v>0</v>
      </c>
      <c r="W87" s="924">
        <f t="shared" si="32"/>
        <v>0</v>
      </c>
      <c r="X87" s="924">
        <f t="shared" si="32"/>
        <v>0</v>
      </c>
      <c r="Y87" s="112"/>
      <c r="Z87" s="924">
        <f t="shared" si="35"/>
        <v>0</v>
      </c>
      <c r="AA87" s="924">
        <f t="shared" si="35"/>
        <v>0</v>
      </c>
      <c r="AB87" s="924">
        <f t="shared" si="35"/>
        <v>0</v>
      </c>
      <c r="AC87" s="924">
        <f t="shared" si="35"/>
        <v>0</v>
      </c>
      <c r="AD87" s="924">
        <f t="shared" si="35"/>
        <v>0</v>
      </c>
      <c r="AE87" s="1231">
        <f t="shared" si="35"/>
        <v>0</v>
      </c>
      <c r="AF87" s="1231">
        <f t="shared" si="35"/>
        <v>0</v>
      </c>
      <c r="AH87" s="65"/>
    </row>
    <row r="88" spans="2:34" x14ac:dyDescent="0.3">
      <c r="B88" s="61"/>
      <c r="C88" s="114"/>
      <c r="D88" s="267"/>
      <c r="E88" s="267"/>
      <c r="F88" s="355"/>
      <c r="G88" s="105"/>
      <c r="H88" s="203"/>
      <c r="I88" s="105"/>
      <c r="J88" s="105"/>
      <c r="K88" s="112"/>
      <c r="L88" s="116">
        <f t="shared" si="28"/>
        <v>0</v>
      </c>
      <c r="M88" s="924">
        <f t="shared" si="29"/>
        <v>0</v>
      </c>
      <c r="N88" s="924">
        <f t="shared" si="30"/>
        <v>0</v>
      </c>
      <c r="O88" s="1008" t="str">
        <f t="shared" si="31"/>
        <v>-</v>
      </c>
      <c r="P88" s="924">
        <f t="shared" si="34"/>
        <v>0</v>
      </c>
      <c r="Q88" s="112"/>
      <c r="R88" s="924">
        <f t="shared" si="22"/>
        <v>0</v>
      </c>
      <c r="S88" s="924">
        <f t="shared" si="23"/>
        <v>0</v>
      </c>
      <c r="T88" s="924">
        <f t="shared" si="24"/>
        <v>0</v>
      </c>
      <c r="U88" s="924">
        <f t="shared" si="32"/>
        <v>0</v>
      </c>
      <c r="V88" s="924">
        <f t="shared" si="32"/>
        <v>0</v>
      </c>
      <c r="W88" s="924">
        <f t="shared" si="32"/>
        <v>0</v>
      </c>
      <c r="X88" s="924">
        <f t="shared" si="32"/>
        <v>0</v>
      </c>
      <c r="Y88" s="112"/>
      <c r="Z88" s="924">
        <f t="shared" si="35"/>
        <v>0</v>
      </c>
      <c r="AA88" s="924">
        <f t="shared" si="35"/>
        <v>0</v>
      </c>
      <c r="AB88" s="924">
        <f t="shared" si="35"/>
        <v>0</v>
      </c>
      <c r="AC88" s="924">
        <f t="shared" si="35"/>
        <v>0</v>
      </c>
      <c r="AD88" s="924">
        <f t="shared" si="35"/>
        <v>0</v>
      </c>
      <c r="AE88" s="1231">
        <f t="shared" si="35"/>
        <v>0</v>
      </c>
      <c r="AF88" s="1231">
        <f t="shared" si="35"/>
        <v>0</v>
      </c>
      <c r="AH88" s="65"/>
    </row>
    <row r="89" spans="2:34" x14ac:dyDescent="0.3">
      <c r="B89" s="61"/>
      <c r="C89" s="114"/>
      <c r="D89" s="267"/>
      <c r="E89" s="267"/>
      <c r="F89" s="355"/>
      <c r="G89" s="105"/>
      <c r="H89" s="203"/>
      <c r="I89" s="105"/>
      <c r="J89" s="105"/>
      <c r="K89" s="112"/>
      <c r="L89" s="116">
        <f>IF(J89="geen",9999999999,J89)</f>
        <v>0</v>
      </c>
      <c r="M89" s="924">
        <f>G89*H89</f>
        <v>0</v>
      </c>
      <c r="N89" s="924">
        <f>IF(G89=0,0,(G89*H89)/L89)</f>
        <v>0</v>
      </c>
      <c r="O89" s="1008" t="str">
        <f>IF(L89=0,"-",(IF(L89&gt;3000,"-",I89+L89-1)))</f>
        <v>-</v>
      </c>
      <c r="P89" s="924">
        <f t="shared" si="34"/>
        <v>0</v>
      </c>
      <c r="Q89" s="112"/>
      <c r="R89" s="924">
        <f t="shared" si="22"/>
        <v>0</v>
      </c>
      <c r="S89" s="924">
        <f t="shared" si="23"/>
        <v>0</v>
      </c>
      <c r="T89" s="924">
        <f t="shared" si="24"/>
        <v>0</v>
      </c>
      <c r="U89" s="924">
        <f t="shared" si="32"/>
        <v>0</v>
      </c>
      <c r="V89" s="924">
        <f t="shared" si="32"/>
        <v>0</v>
      </c>
      <c r="W89" s="924">
        <f t="shared" si="32"/>
        <v>0</v>
      </c>
      <c r="X89" s="924">
        <f t="shared" si="32"/>
        <v>0</v>
      </c>
      <c r="Y89" s="112"/>
      <c r="Z89" s="924">
        <f t="shared" si="35"/>
        <v>0</v>
      </c>
      <c r="AA89" s="924">
        <f t="shared" si="35"/>
        <v>0</v>
      </c>
      <c r="AB89" s="924">
        <f t="shared" si="35"/>
        <v>0</v>
      </c>
      <c r="AC89" s="924">
        <f t="shared" si="35"/>
        <v>0</v>
      </c>
      <c r="AD89" s="924">
        <f t="shared" si="35"/>
        <v>0</v>
      </c>
      <c r="AE89" s="1231">
        <f t="shared" si="35"/>
        <v>0</v>
      </c>
      <c r="AF89" s="1231">
        <f t="shared" si="35"/>
        <v>0</v>
      </c>
      <c r="AH89" s="65"/>
    </row>
    <row r="90" spans="2:34" x14ac:dyDescent="0.3">
      <c r="B90" s="61"/>
      <c r="C90" s="114"/>
      <c r="D90" s="267"/>
      <c r="E90" s="267"/>
      <c r="F90" s="355"/>
      <c r="G90" s="105"/>
      <c r="H90" s="203"/>
      <c r="I90" s="105"/>
      <c r="J90" s="105"/>
      <c r="K90" s="112"/>
      <c r="L90" s="116">
        <f>IF(J90="geen",9999999999,J90)</f>
        <v>0</v>
      </c>
      <c r="M90" s="924">
        <f>G90*H90</f>
        <v>0</v>
      </c>
      <c r="N90" s="924">
        <f>IF(G90=0,0,(G90*H90)/L90)</f>
        <v>0</v>
      </c>
      <c r="O90" s="1008" t="str">
        <f>IF(L90=0,"-",(IF(L90&gt;3000,"-",I90+L90-1)))</f>
        <v>-</v>
      </c>
      <c r="P90" s="924">
        <f t="shared" si="34"/>
        <v>0</v>
      </c>
      <c r="Q90" s="112"/>
      <c r="R90" s="924">
        <f t="shared" si="22"/>
        <v>0</v>
      </c>
      <c r="S90" s="924">
        <f t="shared" si="23"/>
        <v>0</v>
      </c>
      <c r="T90" s="924">
        <f t="shared" si="24"/>
        <v>0</v>
      </c>
      <c r="U90" s="924">
        <f t="shared" si="32"/>
        <v>0</v>
      </c>
      <c r="V90" s="924">
        <f t="shared" si="32"/>
        <v>0</v>
      </c>
      <c r="W90" s="924">
        <f t="shared" si="32"/>
        <v>0</v>
      </c>
      <c r="X90" s="924">
        <f t="shared" si="32"/>
        <v>0</v>
      </c>
      <c r="Y90" s="112"/>
      <c r="Z90" s="924">
        <f t="shared" si="35"/>
        <v>0</v>
      </c>
      <c r="AA90" s="924">
        <f t="shared" si="35"/>
        <v>0</v>
      </c>
      <c r="AB90" s="924">
        <f t="shared" si="35"/>
        <v>0</v>
      </c>
      <c r="AC90" s="924">
        <f t="shared" si="35"/>
        <v>0</v>
      </c>
      <c r="AD90" s="924">
        <f t="shared" si="35"/>
        <v>0</v>
      </c>
      <c r="AE90" s="1231">
        <f t="shared" si="35"/>
        <v>0</v>
      </c>
      <c r="AF90" s="1231">
        <f t="shared" si="35"/>
        <v>0</v>
      </c>
      <c r="AH90" s="65"/>
    </row>
    <row r="91" spans="2:34" x14ac:dyDescent="0.3">
      <c r="B91" s="61"/>
      <c r="C91" s="114"/>
      <c r="D91" s="267"/>
      <c r="E91" s="267"/>
      <c r="F91" s="355"/>
      <c r="G91" s="105"/>
      <c r="H91" s="203"/>
      <c r="I91" s="105"/>
      <c r="J91" s="105"/>
      <c r="K91" s="112"/>
      <c r="L91" s="116">
        <f>IF(J91="geen",9999999999,J91)</f>
        <v>0</v>
      </c>
      <c r="M91" s="924">
        <f>G91*H91</f>
        <v>0</v>
      </c>
      <c r="N91" s="924">
        <f>IF(G91=0,0,(G91*H91)/L91)</f>
        <v>0</v>
      </c>
      <c r="O91" s="1008" t="str">
        <f>IF(L91=0,"-",(IF(L91&gt;3000,"-",I91+L91-1)))</f>
        <v>-</v>
      </c>
      <c r="P91" s="924">
        <f t="shared" si="34"/>
        <v>0</v>
      </c>
      <c r="Q91" s="112"/>
      <c r="R91" s="924">
        <f t="shared" si="22"/>
        <v>0</v>
      </c>
      <c r="S91" s="924">
        <f t="shared" si="23"/>
        <v>0</v>
      </c>
      <c r="T91" s="924">
        <f t="shared" si="24"/>
        <v>0</v>
      </c>
      <c r="U91" s="924">
        <f t="shared" si="32"/>
        <v>0</v>
      </c>
      <c r="V91" s="924">
        <f t="shared" si="32"/>
        <v>0</v>
      </c>
      <c r="W91" s="924">
        <f t="shared" si="32"/>
        <v>0</v>
      </c>
      <c r="X91" s="924">
        <f t="shared" si="32"/>
        <v>0</v>
      </c>
      <c r="Y91" s="112"/>
      <c r="Z91" s="924">
        <f t="shared" si="35"/>
        <v>0</v>
      </c>
      <c r="AA91" s="924">
        <f t="shared" si="35"/>
        <v>0</v>
      </c>
      <c r="AB91" s="924">
        <f t="shared" si="35"/>
        <v>0</v>
      </c>
      <c r="AC91" s="924">
        <f t="shared" si="35"/>
        <v>0</v>
      </c>
      <c r="AD91" s="924">
        <f t="shared" si="35"/>
        <v>0</v>
      </c>
      <c r="AE91" s="1231">
        <f t="shared" si="35"/>
        <v>0</v>
      </c>
      <c r="AF91" s="1231">
        <f t="shared" si="35"/>
        <v>0</v>
      </c>
      <c r="AH91" s="65"/>
    </row>
    <row r="92" spans="2:34" x14ac:dyDescent="0.3">
      <c r="B92" s="61"/>
      <c r="C92" s="114"/>
      <c r="D92" s="267"/>
      <c r="E92" s="267"/>
      <c r="F92" s="355"/>
      <c r="G92" s="105"/>
      <c r="H92" s="203"/>
      <c r="I92" s="105"/>
      <c r="J92" s="105"/>
      <c r="K92" s="112"/>
      <c r="L92" s="116">
        <f t="shared" si="28"/>
        <v>0</v>
      </c>
      <c r="M92" s="924">
        <f t="shared" si="29"/>
        <v>0</v>
      </c>
      <c r="N92" s="924">
        <f t="shared" si="30"/>
        <v>0</v>
      </c>
      <c r="O92" s="1008" t="str">
        <f t="shared" si="31"/>
        <v>-</v>
      </c>
      <c r="P92" s="924">
        <f t="shared" si="34"/>
        <v>0</v>
      </c>
      <c r="Q92" s="112"/>
      <c r="R92" s="924">
        <f t="shared" si="22"/>
        <v>0</v>
      </c>
      <c r="S92" s="924">
        <f t="shared" si="23"/>
        <v>0</v>
      </c>
      <c r="T92" s="924">
        <f t="shared" si="24"/>
        <v>0</v>
      </c>
      <c r="U92" s="924">
        <f t="shared" si="32"/>
        <v>0</v>
      </c>
      <c r="V92" s="924">
        <f t="shared" si="32"/>
        <v>0</v>
      </c>
      <c r="W92" s="924">
        <f t="shared" si="32"/>
        <v>0</v>
      </c>
      <c r="X92" s="924">
        <f t="shared" si="32"/>
        <v>0</v>
      </c>
      <c r="Y92" s="112"/>
      <c r="Z92" s="924">
        <f t="shared" si="35"/>
        <v>0</v>
      </c>
      <c r="AA92" s="924">
        <f t="shared" si="35"/>
        <v>0</v>
      </c>
      <c r="AB92" s="924">
        <f t="shared" si="35"/>
        <v>0</v>
      </c>
      <c r="AC92" s="924">
        <f t="shared" si="35"/>
        <v>0</v>
      </c>
      <c r="AD92" s="924">
        <f t="shared" si="35"/>
        <v>0</v>
      </c>
      <c r="AE92" s="1231">
        <f t="shared" si="35"/>
        <v>0</v>
      </c>
      <c r="AF92" s="1231">
        <f t="shared" si="35"/>
        <v>0</v>
      </c>
      <c r="AH92" s="65"/>
    </row>
    <row r="93" spans="2:34" x14ac:dyDescent="0.3">
      <c r="B93" s="61"/>
      <c r="C93" s="114"/>
      <c r="D93" s="267"/>
      <c r="E93" s="267"/>
      <c r="F93" s="355"/>
      <c r="G93" s="105"/>
      <c r="H93" s="203"/>
      <c r="I93" s="105"/>
      <c r="J93" s="105"/>
      <c r="K93" s="112"/>
      <c r="L93" s="116">
        <f t="shared" si="28"/>
        <v>0</v>
      </c>
      <c r="M93" s="924">
        <f t="shared" si="29"/>
        <v>0</v>
      </c>
      <c r="N93" s="924">
        <f t="shared" si="30"/>
        <v>0</v>
      </c>
      <c r="O93" s="1008" t="str">
        <f t="shared" si="31"/>
        <v>-</v>
      </c>
      <c r="P93" s="924">
        <f t="shared" si="34"/>
        <v>0</v>
      </c>
      <c r="Q93" s="112"/>
      <c r="R93" s="924">
        <f t="shared" si="22"/>
        <v>0</v>
      </c>
      <c r="S93" s="924">
        <f t="shared" si="23"/>
        <v>0</v>
      </c>
      <c r="T93" s="924">
        <f t="shared" si="24"/>
        <v>0</v>
      </c>
      <c r="U93" s="924">
        <f t="shared" ref="U93:X112" si="36">(IF(U$7&lt;$I93,0,IF($O93&lt;=U$7-1,0,$N93)))</f>
        <v>0</v>
      </c>
      <c r="V93" s="924">
        <f t="shared" si="36"/>
        <v>0</v>
      </c>
      <c r="W93" s="924">
        <f t="shared" si="36"/>
        <v>0</v>
      </c>
      <c r="X93" s="924">
        <f t="shared" si="36"/>
        <v>0</v>
      </c>
      <c r="Y93" s="112"/>
      <c r="Z93" s="924">
        <f t="shared" si="35"/>
        <v>0</v>
      </c>
      <c r="AA93" s="924">
        <f t="shared" si="35"/>
        <v>0</v>
      </c>
      <c r="AB93" s="924">
        <f t="shared" si="35"/>
        <v>0</v>
      </c>
      <c r="AC93" s="924">
        <f t="shared" si="35"/>
        <v>0</v>
      </c>
      <c r="AD93" s="924">
        <f t="shared" si="35"/>
        <v>0</v>
      </c>
      <c r="AE93" s="1231">
        <f t="shared" si="35"/>
        <v>0</v>
      </c>
      <c r="AF93" s="1231">
        <f t="shared" si="35"/>
        <v>0</v>
      </c>
      <c r="AH93" s="65"/>
    </row>
    <row r="94" spans="2:34" x14ac:dyDescent="0.3">
      <c r="B94" s="61"/>
      <c r="C94" s="114"/>
      <c r="D94" s="267"/>
      <c r="E94" s="267"/>
      <c r="F94" s="355"/>
      <c r="G94" s="105"/>
      <c r="H94" s="203"/>
      <c r="I94" s="105"/>
      <c r="J94" s="105"/>
      <c r="K94" s="112"/>
      <c r="L94" s="116">
        <f t="shared" si="28"/>
        <v>0</v>
      </c>
      <c r="M94" s="924">
        <f t="shared" si="29"/>
        <v>0</v>
      </c>
      <c r="N94" s="924">
        <f t="shared" si="30"/>
        <v>0</v>
      </c>
      <c r="O94" s="1008" t="str">
        <f t="shared" si="31"/>
        <v>-</v>
      </c>
      <c r="P94" s="924">
        <f t="shared" si="34"/>
        <v>0</v>
      </c>
      <c r="Q94" s="112"/>
      <c r="R94" s="924">
        <f t="shared" si="22"/>
        <v>0</v>
      </c>
      <c r="S94" s="924">
        <f t="shared" si="23"/>
        <v>0</v>
      </c>
      <c r="T94" s="924">
        <f t="shared" si="24"/>
        <v>0</v>
      </c>
      <c r="U94" s="924">
        <f t="shared" si="36"/>
        <v>0</v>
      </c>
      <c r="V94" s="924">
        <f t="shared" si="36"/>
        <v>0</v>
      </c>
      <c r="W94" s="924">
        <f t="shared" si="36"/>
        <v>0</v>
      </c>
      <c r="X94" s="924">
        <f t="shared" si="36"/>
        <v>0</v>
      </c>
      <c r="Y94" s="112"/>
      <c r="Z94" s="924">
        <f t="shared" si="35"/>
        <v>0</v>
      </c>
      <c r="AA94" s="924">
        <f t="shared" si="35"/>
        <v>0</v>
      </c>
      <c r="AB94" s="924">
        <f t="shared" si="35"/>
        <v>0</v>
      </c>
      <c r="AC94" s="924">
        <f t="shared" si="35"/>
        <v>0</v>
      </c>
      <c r="AD94" s="924">
        <f t="shared" si="35"/>
        <v>0</v>
      </c>
      <c r="AE94" s="1231">
        <f t="shared" si="35"/>
        <v>0</v>
      </c>
      <c r="AF94" s="1231">
        <f t="shared" si="35"/>
        <v>0</v>
      </c>
      <c r="AH94" s="65"/>
    </row>
    <row r="95" spans="2:34" x14ac:dyDescent="0.3">
      <c r="B95" s="61"/>
      <c r="C95" s="114"/>
      <c r="D95" s="267"/>
      <c r="E95" s="267"/>
      <c r="F95" s="355"/>
      <c r="G95" s="105"/>
      <c r="H95" s="203"/>
      <c r="I95" s="105"/>
      <c r="J95" s="105"/>
      <c r="K95" s="112"/>
      <c r="L95" s="116">
        <f t="shared" si="28"/>
        <v>0</v>
      </c>
      <c r="M95" s="924">
        <f t="shared" si="29"/>
        <v>0</v>
      </c>
      <c r="N95" s="924">
        <f t="shared" si="30"/>
        <v>0</v>
      </c>
      <c r="O95" s="1008" t="str">
        <f t="shared" si="31"/>
        <v>-</v>
      </c>
      <c r="P95" s="924">
        <f t="shared" si="34"/>
        <v>0</v>
      </c>
      <c r="Q95" s="112"/>
      <c r="R95" s="924">
        <f t="shared" si="22"/>
        <v>0</v>
      </c>
      <c r="S95" s="924">
        <f t="shared" si="23"/>
        <v>0</v>
      </c>
      <c r="T95" s="924">
        <f t="shared" si="24"/>
        <v>0</v>
      </c>
      <c r="U95" s="924">
        <f t="shared" si="36"/>
        <v>0</v>
      </c>
      <c r="V95" s="924">
        <f t="shared" si="36"/>
        <v>0</v>
      </c>
      <c r="W95" s="924">
        <f t="shared" si="36"/>
        <v>0</v>
      </c>
      <c r="X95" s="924">
        <f t="shared" si="36"/>
        <v>0</v>
      </c>
      <c r="Y95" s="112"/>
      <c r="Z95" s="924">
        <f t="shared" si="35"/>
        <v>0</v>
      </c>
      <c r="AA95" s="924">
        <f t="shared" si="35"/>
        <v>0</v>
      </c>
      <c r="AB95" s="924">
        <f t="shared" si="35"/>
        <v>0</v>
      </c>
      <c r="AC95" s="924">
        <f t="shared" si="35"/>
        <v>0</v>
      </c>
      <c r="AD95" s="924">
        <f t="shared" si="35"/>
        <v>0</v>
      </c>
      <c r="AE95" s="1231">
        <f t="shared" si="35"/>
        <v>0</v>
      </c>
      <c r="AF95" s="1231">
        <f t="shared" si="35"/>
        <v>0</v>
      </c>
      <c r="AH95" s="65"/>
    </row>
    <row r="96" spans="2:34" x14ac:dyDescent="0.3">
      <c r="B96" s="61"/>
      <c r="C96" s="114"/>
      <c r="D96" s="267"/>
      <c r="E96" s="267"/>
      <c r="F96" s="355"/>
      <c r="G96" s="105"/>
      <c r="H96" s="203"/>
      <c r="I96" s="105"/>
      <c r="J96" s="105"/>
      <c r="K96" s="112"/>
      <c r="L96" s="116">
        <f t="shared" si="28"/>
        <v>0</v>
      </c>
      <c r="M96" s="924">
        <f t="shared" si="29"/>
        <v>0</v>
      </c>
      <c r="N96" s="924">
        <f t="shared" si="30"/>
        <v>0</v>
      </c>
      <c r="O96" s="1008" t="str">
        <f t="shared" si="31"/>
        <v>-</v>
      </c>
      <c r="P96" s="924">
        <f t="shared" si="34"/>
        <v>0</v>
      </c>
      <c r="Q96" s="112"/>
      <c r="R96" s="924">
        <f t="shared" si="22"/>
        <v>0</v>
      </c>
      <c r="S96" s="924">
        <f t="shared" si="23"/>
        <v>0</v>
      </c>
      <c r="T96" s="924">
        <f t="shared" si="24"/>
        <v>0</v>
      </c>
      <c r="U96" s="924">
        <f t="shared" si="36"/>
        <v>0</v>
      </c>
      <c r="V96" s="924">
        <f t="shared" si="36"/>
        <v>0</v>
      </c>
      <c r="W96" s="924">
        <f t="shared" si="36"/>
        <v>0</v>
      </c>
      <c r="X96" s="924">
        <f t="shared" si="36"/>
        <v>0</v>
      </c>
      <c r="Y96" s="112"/>
      <c r="Z96" s="924">
        <f t="shared" ref="Z96:AF97" si="37">IF(Z$7=$I96,($G96*$H96),0)</f>
        <v>0</v>
      </c>
      <c r="AA96" s="924">
        <f t="shared" si="37"/>
        <v>0</v>
      </c>
      <c r="AB96" s="924">
        <f t="shared" si="37"/>
        <v>0</v>
      </c>
      <c r="AC96" s="924">
        <f t="shared" si="37"/>
        <v>0</v>
      </c>
      <c r="AD96" s="924">
        <f t="shared" si="37"/>
        <v>0</v>
      </c>
      <c r="AE96" s="1231">
        <f t="shared" si="37"/>
        <v>0</v>
      </c>
      <c r="AF96" s="1231">
        <f t="shared" si="37"/>
        <v>0</v>
      </c>
      <c r="AH96" s="65"/>
    </row>
    <row r="97" spans="2:34" x14ac:dyDescent="0.3">
      <c r="B97" s="61"/>
      <c r="C97" s="114"/>
      <c r="D97" s="267"/>
      <c r="E97" s="267"/>
      <c r="F97" s="355"/>
      <c r="G97" s="105"/>
      <c r="H97" s="203"/>
      <c r="I97" s="105"/>
      <c r="J97" s="105"/>
      <c r="K97" s="112"/>
      <c r="L97" s="116">
        <f t="shared" si="28"/>
        <v>0</v>
      </c>
      <c r="M97" s="924">
        <f t="shared" si="29"/>
        <v>0</v>
      </c>
      <c r="N97" s="924">
        <f t="shared" si="30"/>
        <v>0</v>
      </c>
      <c r="O97" s="1008" t="str">
        <f t="shared" si="31"/>
        <v>-</v>
      </c>
      <c r="P97" s="924">
        <f t="shared" si="34"/>
        <v>0</v>
      </c>
      <c r="Q97" s="112"/>
      <c r="R97" s="924">
        <f t="shared" si="22"/>
        <v>0</v>
      </c>
      <c r="S97" s="924">
        <f t="shared" si="23"/>
        <v>0</v>
      </c>
      <c r="T97" s="924">
        <f t="shared" si="24"/>
        <v>0</v>
      </c>
      <c r="U97" s="924">
        <f t="shared" si="36"/>
        <v>0</v>
      </c>
      <c r="V97" s="924">
        <f t="shared" si="36"/>
        <v>0</v>
      </c>
      <c r="W97" s="924">
        <f t="shared" si="36"/>
        <v>0</v>
      </c>
      <c r="X97" s="924">
        <f t="shared" si="36"/>
        <v>0</v>
      </c>
      <c r="Y97" s="112"/>
      <c r="Z97" s="924">
        <f t="shared" si="37"/>
        <v>0</v>
      </c>
      <c r="AA97" s="924">
        <f t="shared" si="37"/>
        <v>0</v>
      </c>
      <c r="AB97" s="924">
        <f t="shared" si="37"/>
        <v>0</v>
      </c>
      <c r="AC97" s="924">
        <f t="shared" si="37"/>
        <v>0</v>
      </c>
      <c r="AD97" s="924">
        <f t="shared" si="37"/>
        <v>0</v>
      </c>
      <c r="AE97" s="1231">
        <f t="shared" si="37"/>
        <v>0</v>
      </c>
      <c r="AF97" s="1231">
        <f t="shared" si="37"/>
        <v>0</v>
      </c>
      <c r="AH97" s="65"/>
    </row>
    <row r="98" spans="2:34" x14ac:dyDescent="0.3">
      <c r="B98" s="61"/>
      <c r="C98" s="114"/>
      <c r="D98" s="267"/>
      <c r="E98" s="267"/>
      <c r="F98" s="355"/>
      <c r="G98" s="105"/>
      <c r="H98" s="203"/>
      <c r="I98" s="105"/>
      <c r="J98" s="105"/>
      <c r="K98" s="112"/>
      <c r="L98" s="116">
        <f t="shared" si="12"/>
        <v>0</v>
      </c>
      <c r="M98" s="924">
        <f t="shared" si="19"/>
        <v>0</v>
      </c>
      <c r="N98" s="924">
        <f t="shared" si="20"/>
        <v>0</v>
      </c>
      <c r="O98" s="1008" t="str">
        <f t="shared" si="21"/>
        <v>-</v>
      </c>
      <c r="P98" s="924">
        <f t="shared" si="34"/>
        <v>0</v>
      </c>
      <c r="Q98" s="112"/>
      <c r="R98" s="924">
        <f t="shared" si="22"/>
        <v>0</v>
      </c>
      <c r="S98" s="924">
        <f t="shared" si="23"/>
        <v>0</v>
      </c>
      <c r="T98" s="924">
        <f t="shared" si="24"/>
        <v>0</v>
      </c>
      <c r="U98" s="924">
        <f t="shared" si="36"/>
        <v>0</v>
      </c>
      <c r="V98" s="924">
        <f t="shared" si="36"/>
        <v>0</v>
      </c>
      <c r="W98" s="924">
        <f t="shared" si="36"/>
        <v>0</v>
      </c>
      <c r="X98" s="924">
        <f t="shared" si="36"/>
        <v>0</v>
      </c>
      <c r="Y98" s="112"/>
      <c r="Z98" s="924">
        <f t="shared" ref="Z98:AF107" si="38">IF(Z$7=$I98,($G98*$H98),0)</f>
        <v>0</v>
      </c>
      <c r="AA98" s="924">
        <f t="shared" si="38"/>
        <v>0</v>
      </c>
      <c r="AB98" s="924">
        <f t="shared" si="38"/>
        <v>0</v>
      </c>
      <c r="AC98" s="924">
        <f t="shared" si="38"/>
        <v>0</v>
      </c>
      <c r="AD98" s="924">
        <f t="shared" si="38"/>
        <v>0</v>
      </c>
      <c r="AE98" s="1231">
        <f t="shared" si="38"/>
        <v>0</v>
      </c>
      <c r="AF98" s="1231">
        <f t="shared" si="38"/>
        <v>0</v>
      </c>
      <c r="AH98" s="65"/>
    </row>
    <row r="99" spans="2:34" x14ac:dyDescent="0.3">
      <c r="B99" s="61"/>
      <c r="C99" s="114"/>
      <c r="D99" s="267"/>
      <c r="E99" s="267"/>
      <c r="F99" s="355"/>
      <c r="G99" s="105"/>
      <c r="H99" s="203"/>
      <c r="I99" s="105"/>
      <c r="J99" s="105"/>
      <c r="K99" s="112"/>
      <c r="L99" s="116">
        <f t="shared" si="12"/>
        <v>0</v>
      </c>
      <c r="M99" s="924">
        <f t="shared" si="19"/>
        <v>0</v>
      </c>
      <c r="N99" s="924">
        <f t="shared" si="20"/>
        <v>0</v>
      </c>
      <c r="O99" s="1008" t="str">
        <f t="shared" si="21"/>
        <v>-</v>
      </c>
      <c r="P99" s="924">
        <f t="shared" si="34"/>
        <v>0</v>
      </c>
      <c r="Q99" s="112"/>
      <c r="R99" s="924">
        <f t="shared" si="22"/>
        <v>0</v>
      </c>
      <c r="S99" s="924">
        <f t="shared" si="23"/>
        <v>0</v>
      </c>
      <c r="T99" s="924">
        <f t="shared" si="24"/>
        <v>0</v>
      </c>
      <c r="U99" s="924">
        <f t="shared" si="36"/>
        <v>0</v>
      </c>
      <c r="V99" s="924">
        <f t="shared" si="36"/>
        <v>0</v>
      </c>
      <c r="W99" s="924">
        <f t="shared" si="36"/>
        <v>0</v>
      </c>
      <c r="X99" s="924">
        <f t="shared" si="36"/>
        <v>0</v>
      </c>
      <c r="Y99" s="112"/>
      <c r="Z99" s="924">
        <f t="shared" si="38"/>
        <v>0</v>
      </c>
      <c r="AA99" s="924">
        <f t="shared" si="38"/>
        <v>0</v>
      </c>
      <c r="AB99" s="924">
        <f t="shared" si="38"/>
        <v>0</v>
      </c>
      <c r="AC99" s="924">
        <f t="shared" si="38"/>
        <v>0</v>
      </c>
      <c r="AD99" s="924">
        <f t="shared" si="38"/>
        <v>0</v>
      </c>
      <c r="AE99" s="1231">
        <f t="shared" si="38"/>
        <v>0</v>
      </c>
      <c r="AF99" s="1231">
        <f t="shared" si="38"/>
        <v>0</v>
      </c>
      <c r="AH99" s="65"/>
    </row>
    <row r="100" spans="2:34" x14ac:dyDescent="0.3">
      <c r="B100" s="61"/>
      <c r="C100" s="114"/>
      <c r="D100" s="267"/>
      <c r="E100" s="267"/>
      <c r="F100" s="355"/>
      <c r="G100" s="105"/>
      <c r="H100" s="203"/>
      <c r="I100" s="105"/>
      <c r="J100" s="105"/>
      <c r="K100" s="112"/>
      <c r="L100" s="116">
        <f t="shared" si="12"/>
        <v>0</v>
      </c>
      <c r="M100" s="924">
        <f t="shared" si="19"/>
        <v>0</v>
      </c>
      <c r="N100" s="924">
        <f t="shared" si="20"/>
        <v>0</v>
      </c>
      <c r="O100" s="1008" t="str">
        <f t="shared" si="21"/>
        <v>-</v>
      </c>
      <c r="P100" s="924">
        <f t="shared" si="34"/>
        <v>0</v>
      </c>
      <c r="Q100" s="112"/>
      <c r="R100" s="924">
        <f t="shared" si="22"/>
        <v>0</v>
      </c>
      <c r="S100" s="924">
        <f t="shared" si="23"/>
        <v>0</v>
      </c>
      <c r="T100" s="924">
        <f t="shared" si="24"/>
        <v>0</v>
      </c>
      <c r="U100" s="924">
        <f t="shared" si="36"/>
        <v>0</v>
      </c>
      <c r="V100" s="924">
        <f t="shared" si="36"/>
        <v>0</v>
      </c>
      <c r="W100" s="924">
        <f t="shared" si="36"/>
        <v>0</v>
      </c>
      <c r="X100" s="924">
        <f t="shared" si="36"/>
        <v>0</v>
      </c>
      <c r="Y100" s="112"/>
      <c r="Z100" s="924">
        <f t="shared" si="38"/>
        <v>0</v>
      </c>
      <c r="AA100" s="924">
        <f t="shared" si="38"/>
        <v>0</v>
      </c>
      <c r="AB100" s="924">
        <f t="shared" si="38"/>
        <v>0</v>
      </c>
      <c r="AC100" s="924">
        <f t="shared" si="38"/>
        <v>0</v>
      </c>
      <c r="AD100" s="924">
        <f t="shared" si="38"/>
        <v>0</v>
      </c>
      <c r="AE100" s="1231">
        <f t="shared" si="38"/>
        <v>0</v>
      </c>
      <c r="AF100" s="1231">
        <f t="shared" si="38"/>
        <v>0</v>
      </c>
      <c r="AH100" s="65"/>
    </row>
    <row r="101" spans="2:34" x14ac:dyDescent="0.3">
      <c r="B101" s="61"/>
      <c r="C101" s="114"/>
      <c r="D101" s="267"/>
      <c r="E101" s="267"/>
      <c r="F101" s="355"/>
      <c r="G101" s="105"/>
      <c r="H101" s="203"/>
      <c r="I101" s="105"/>
      <c r="J101" s="105"/>
      <c r="K101" s="112"/>
      <c r="L101" s="116">
        <f t="shared" si="12"/>
        <v>0</v>
      </c>
      <c r="M101" s="924">
        <f t="shared" si="19"/>
        <v>0</v>
      </c>
      <c r="N101" s="924">
        <f t="shared" si="20"/>
        <v>0</v>
      </c>
      <c r="O101" s="1008" t="str">
        <f t="shared" si="21"/>
        <v>-</v>
      </c>
      <c r="P101" s="924">
        <f t="shared" si="34"/>
        <v>0</v>
      </c>
      <c r="Q101" s="112"/>
      <c r="R101" s="924">
        <f t="shared" si="22"/>
        <v>0</v>
      </c>
      <c r="S101" s="924">
        <f t="shared" si="23"/>
        <v>0</v>
      </c>
      <c r="T101" s="924">
        <f t="shared" si="24"/>
        <v>0</v>
      </c>
      <c r="U101" s="924">
        <f t="shared" si="36"/>
        <v>0</v>
      </c>
      <c r="V101" s="924">
        <f t="shared" si="36"/>
        <v>0</v>
      </c>
      <c r="W101" s="924">
        <f t="shared" si="36"/>
        <v>0</v>
      </c>
      <c r="X101" s="924">
        <f t="shared" si="36"/>
        <v>0</v>
      </c>
      <c r="Y101" s="112"/>
      <c r="Z101" s="924">
        <f t="shared" si="38"/>
        <v>0</v>
      </c>
      <c r="AA101" s="924">
        <f t="shared" si="38"/>
        <v>0</v>
      </c>
      <c r="AB101" s="924">
        <f t="shared" si="38"/>
        <v>0</v>
      </c>
      <c r="AC101" s="924">
        <f t="shared" si="38"/>
        <v>0</v>
      </c>
      <c r="AD101" s="924">
        <f t="shared" si="38"/>
        <v>0</v>
      </c>
      <c r="AE101" s="1231">
        <f t="shared" si="38"/>
        <v>0</v>
      </c>
      <c r="AF101" s="1231">
        <f t="shared" si="38"/>
        <v>0</v>
      </c>
      <c r="AH101" s="65"/>
    </row>
    <row r="102" spans="2:34" x14ac:dyDescent="0.3">
      <c r="B102" s="61"/>
      <c r="C102" s="114"/>
      <c r="D102" s="267"/>
      <c r="E102" s="267"/>
      <c r="F102" s="355"/>
      <c r="G102" s="105"/>
      <c r="H102" s="203"/>
      <c r="I102" s="105"/>
      <c r="J102" s="105"/>
      <c r="K102" s="112"/>
      <c r="L102" s="116">
        <f t="shared" si="12"/>
        <v>0</v>
      </c>
      <c r="M102" s="924">
        <f t="shared" si="19"/>
        <v>0</v>
      </c>
      <c r="N102" s="924">
        <f t="shared" si="20"/>
        <v>0</v>
      </c>
      <c r="O102" s="1008" t="str">
        <f t="shared" si="21"/>
        <v>-</v>
      </c>
      <c r="P102" s="924">
        <f t="shared" si="34"/>
        <v>0</v>
      </c>
      <c r="Q102" s="112"/>
      <c r="R102" s="924">
        <f t="shared" si="22"/>
        <v>0</v>
      </c>
      <c r="S102" s="924">
        <f t="shared" si="23"/>
        <v>0</v>
      </c>
      <c r="T102" s="924">
        <f t="shared" si="24"/>
        <v>0</v>
      </c>
      <c r="U102" s="924">
        <f t="shared" si="36"/>
        <v>0</v>
      </c>
      <c r="V102" s="924">
        <f t="shared" si="36"/>
        <v>0</v>
      </c>
      <c r="W102" s="924">
        <f t="shared" si="36"/>
        <v>0</v>
      </c>
      <c r="X102" s="924">
        <f t="shared" si="36"/>
        <v>0</v>
      </c>
      <c r="Y102" s="112"/>
      <c r="Z102" s="924">
        <f t="shared" si="38"/>
        <v>0</v>
      </c>
      <c r="AA102" s="924">
        <f t="shared" si="38"/>
        <v>0</v>
      </c>
      <c r="AB102" s="924">
        <f t="shared" si="38"/>
        <v>0</v>
      </c>
      <c r="AC102" s="924">
        <f t="shared" si="38"/>
        <v>0</v>
      </c>
      <c r="AD102" s="924">
        <f t="shared" si="38"/>
        <v>0</v>
      </c>
      <c r="AE102" s="1231">
        <f t="shared" si="38"/>
        <v>0</v>
      </c>
      <c r="AF102" s="1231">
        <f t="shared" si="38"/>
        <v>0</v>
      </c>
      <c r="AH102" s="65"/>
    </row>
    <row r="103" spans="2:34" x14ac:dyDescent="0.3">
      <c r="B103" s="61"/>
      <c r="C103" s="114"/>
      <c r="D103" s="267"/>
      <c r="E103" s="267"/>
      <c r="F103" s="355"/>
      <c r="G103" s="105"/>
      <c r="H103" s="203"/>
      <c r="I103" s="105"/>
      <c r="J103" s="105"/>
      <c r="K103" s="112"/>
      <c r="L103" s="116">
        <f t="shared" si="12"/>
        <v>0</v>
      </c>
      <c r="M103" s="924">
        <f t="shared" si="19"/>
        <v>0</v>
      </c>
      <c r="N103" s="924">
        <f t="shared" si="20"/>
        <v>0</v>
      </c>
      <c r="O103" s="1008" t="str">
        <f t="shared" si="21"/>
        <v>-</v>
      </c>
      <c r="P103" s="924">
        <f t="shared" si="34"/>
        <v>0</v>
      </c>
      <c r="Q103" s="112"/>
      <c r="R103" s="924">
        <f t="shared" si="22"/>
        <v>0</v>
      </c>
      <c r="S103" s="924">
        <f t="shared" si="23"/>
        <v>0</v>
      </c>
      <c r="T103" s="924">
        <f t="shared" si="24"/>
        <v>0</v>
      </c>
      <c r="U103" s="924">
        <f t="shared" si="36"/>
        <v>0</v>
      </c>
      <c r="V103" s="924">
        <f t="shared" si="36"/>
        <v>0</v>
      </c>
      <c r="W103" s="924">
        <f t="shared" si="36"/>
        <v>0</v>
      </c>
      <c r="X103" s="924">
        <f t="shared" si="36"/>
        <v>0</v>
      </c>
      <c r="Y103" s="112"/>
      <c r="Z103" s="924">
        <f t="shared" si="38"/>
        <v>0</v>
      </c>
      <c r="AA103" s="924">
        <f t="shared" si="38"/>
        <v>0</v>
      </c>
      <c r="AB103" s="924">
        <f t="shared" si="38"/>
        <v>0</v>
      </c>
      <c r="AC103" s="924">
        <f t="shared" si="38"/>
        <v>0</v>
      </c>
      <c r="AD103" s="924">
        <f t="shared" si="38"/>
        <v>0</v>
      </c>
      <c r="AE103" s="1231">
        <f t="shared" si="38"/>
        <v>0</v>
      </c>
      <c r="AF103" s="1231">
        <f t="shared" si="38"/>
        <v>0</v>
      </c>
      <c r="AH103" s="65"/>
    </row>
    <row r="104" spans="2:34" x14ac:dyDescent="0.3">
      <c r="B104" s="61"/>
      <c r="C104" s="114"/>
      <c r="D104" s="267"/>
      <c r="E104" s="267"/>
      <c r="F104" s="355"/>
      <c r="G104" s="105"/>
      <c r="H104" s="203"/>
      <c r="I104" s="105"/>
      <c r="J104" s="105"/>
      <c r="K104" s="112"/>
      <c r="L104" s="116">
        <f t="shared" si="12"/>
        <v>0</v>
      </c>
      <c r="M104" s="924">
        <f t="shared" si="19"/>
        <v>0</v>
      </c>
      <c r="N104" s="924">
        <f t="shared" si="20"/>
        <v>0</v>
      </c>
      <c r="O104" s="1008" t="str">
        <f t="shared" si="21"/>
        <v>-</v>
      </c>
      <c r="P104" s="924">
        <f t="shared" si="34"/>
        <v>0</v>
      </c>
      <c r="Q104" s="112"/>
      <c r="R104" s="924">
        <f t="shared" si="22"/>
        <v>0</v>
      </c>
      <c r="S104" s="924">
        <f t="shared" si="23"/>
        <v>0</v>
      </c>
      <c r="T104" s="924">
        <f t="shared" si="24"/>
        <v>0</v>
      </c>
      <c r="U104" s="924">
        <f t="shared" si="36"/>
        <v>0</v>
      </c>
      <c r="V104" s="924">
        <f t="shared" si="36"/>
        <v>0</v>
      </c>
      <c r="W104" s="924">
        <f t="shared" si="36"/>
        <v>0</v>
      </c>
      <c r="X104" s="924">
        <f t="shared" si="36"/>
        <v>0</v>
      </c>
      <c r="Y104" s="112"/>
      <c r="Z104" s="924">
        <f t="shared" si="38"/>
        <v>0</v>
      </c>
      <c r="AA104" s="924">
        <f t="shared" si="38"/>
        <v>0</v>
      </c>
      <c r="AB104" s="924">
        <f t="shared" si="38"/>
        <v>0</v>
      </c>
      <c r="AC104" s="924">
        <f t="shared" si="38"/>
        <v>0</v>
      </c>
      <c r="AD104" s="924">
        <f t="shared" si="38"/>
        <v>0</v>
      </c>
      <c r="AE104" s="1231">
        <f t="shared" si="38"/>
        <v>0</v>
      </c>
      <c r="AF104" s="1231">
        <f t="shared" si="38"/>
        <v>0</v>
      </c>
      <c r="AH104" s="65"/>
    </row>
    <row r="105" spans="2:34" x14ac:dyDescent="0.3">
      <c r="B105" s="61"/>
      <c r="C105" s="114"/>
      <c r="D105" s="267"/>
      <c r="E105" s="267"/>
      <c r="F105" s="355"/>
      <c r="G105" s="105"/>
      <c r="H105" s="203"/>
      <c r="I105" s="105"/>
      <c r="J105" s="105"/>
      <c r="K105" s="112"/>
      <c r="L105" s="116">
        <f t="shared" si="12"/>
        <v>0</v>
      </c>
      <c r="M105" s="924">
        <f t="shared" si="19"/>
        <v>0</v>
      </c>
      <c r="N105" s="924">
        <f t="shared" si="20"/>
        <v>0</v>
      </c>
      <c r="O105" s="1008" t="str">
        <f t="shared" si="21"/>
        <v>-</v>
      </c>
      <c r="P105" s="924">
        <f t="shared" si="34"/>
        <v>0</v>
      </c>
      <c r="Q105" s="112"/>
      <c r="R105" s="924">
        <f t="shared" si="22"/>
        <v>0</v>
      </c>
      <c r="S105" s="924">
        <f t="shared" si="23"/>
        <v>0</v>
      </c>
      <c r="T105" s="924">
        <f t="shared" si="24"/>
        <v>0</v>
      </c>
      <c r="U105" s="924">
        <f t="shared" si="36"/>
        <v>0</v>
      </c>
      <c r="V105" s="924">
        <f t="shared" si="36"/>
        <v>0</v>
      </c>
      <c r="W105" s="924">
        <f t="shared" si="36"/>
        <v>0</v>
      </c>
      <c r="X105" s="924">
        <f t="shared" si="36"/>
        <v>0</v>
      </c>
      <c r="Y105" s="112"/>
      <c r="Z105" s="924">
        <f t="shared" si="38"/>
        <v>0</v>
      </c>
      <c r="AA105" s="924">
        <f t="shared" si="38"/>
        <v>0</v>
      </c>
      <c r="AB105" s="924">
        <f t="shared" si="38"/>
        <v>0</v>
      </c>
      <c r="AC105" s="924">
        <f t="shared" si="38"/>
        <v>0</v>
      </c>
      <c r="AD105" s="924">
        <f t="shared" si="38"/>
        <v>0</v>
      </c>
      <c r="AE105" s="1231">
        <f t="shared" si="38"/>
        <v>0</v>
      </c>
      <c r="AF105" s="1231">
        <f t="shared" si="38"/>
        <v>0</v>
      </c>
      <c r="AH105" s="65"/>
    </row>
    <row r="106" spans="2:34" x14ac:dyDescent="0.3">
      <c r="B106" s="61"/>
      <c r="C106" s="114"/>
      <c r="D106" s="267"/>
      <c r="E106" s="267"/>
      <c r="F106" s="355"/>
      <c r="G106" s="105"/>
      <c r="H106" s="203"/>
      <c r="I106" s="105"/>
      <c r="J106" s="105"/>
      <c r="K106" s="112"/>
      <c r="L106" s="116">
        <f t="shared" si="12"/>
        <v>0</v>
      </c>
      <c r="M106" s="924">
        <f t="shared" si="19"/>
        <v>0</v>
      </c>
      <c r="N106" s="924">
        <f t="shared" si="20"/>
        <v>0</v>
      </c>
      <c r="O106" s="1008" t="str">
        <f t="shared" si="21"/>
        <v>-</v>
      </c>
      <c r="P106" s="924">
        <f t="shared" si="34"/>
        <v>0</v>
      </c>
      <c r="Q106" s="112"/>
      <c r="R106" s="924">
        <f t="shared" si="22"/>
        <v>0</v>
      </c>
      <c r="S106" s="924">
        <f t="shared" si="23"/>
        <v>0</v>
      </c>
      <c r="T106" s="924">
        <f t="shared" si="24"/>
        <v>0</v>
      </c>
      <c r="U106" s="924">
        <f t="shared" si="36"/>
        <v>0</v>
      </c>
      <c r="V106" s="924">
        <f t="shared" si="36"/>
        <v>0</v>
      </c>
      <c r="W106" s="924">
        <f t="shared" si="36"/>
        <v>0</v>
      </c>
      <c r="X106" s="924">
        <f t="shared" si="36"/>
        <v>0</v>
      </c>
      <c r="Y106" s="112"/>
      <c r="Z106" s="924">
        <f t="shared" si="38"/>
        <v>0</v>
      </c>
      <c r="AA106" s="924">
        <f t="shared" si="38"/>
        <v>0</v>
      </c>
      <c r="AB106" s="924">
        <f t="shared" si="38"/>
        <v>0</v>
      </c>
      <c r="AC106" s="924">
        <f t="shared" si="38"/>
        <v>0</v>
      </c>
      <c r="AD106" s="924">
        <f t="shared" si="38"/>
        <v>0</v>
      </c>
      <c r="AE106" s="1231">
        <f t="shared" si="38"/>
        <v>0</v>
      </c>
      <c r="AF106" s="1231">
        <f t="shared" si="38"/>
        <v>0</v>
      </c>
      <c r="AH106" s="65"/>
    </row>
    <row r="107" spans="2:34" x14ac:dyDescent="0.3">
      <c r="B107" s="61"/>
      <c r="C107" s="114"/>
      <c r="D107" s="267"/>
      <c r="E107" s="267"/>
      <c r="F107" s="355"/>
      <c r="G107" s="105"/>
      <c r="H107" s="203"/>
      <c r="I107" s="105"/>
      <c r="J107" s="105"/>
      <c r="K107" s="112"/>
      <c r="L107" s="116">
        <f t="shared" si="12"/>
        <v>0</v>
      </c>
      <c r="M107" s="924">
        <f t="shared" ref="M107:M138" si="39">G107*H107</f>
        <v>0</v>
      </c>
      <c r="N107" s="924">
        <f t="shared" ref="N107:N138" si="40">IF(G107=0,0,(G107*H107)/L107)</f>
        <v>0</v>
      </c>
      <c r="O107" s="1008" t="str">
        <f t="shared" ref="O107:O138" si="41">IF(L107=0,"-",(IF(L107&gt;3000,"-",I107+L107-1)))</f>
        <v>-</v>
      </c>
      <c r="P107" s="924">
        <f t="shared" si="34"/>
        <v>0</v>
      </c>
      <c r="Q107" s="112"/>
      <c r="R107" s="924">
        <f t="shared" ref="R107:R138" si="42">(IF(R$7&lt;$I107,0,IF($O107&lt;=R$7-1,0,$N107)))</f>
        <v>0</v>
      </c>
      <c r="S107" s="924">
        <f t="shared" ref="S107:S138" si="43">(IF(S$7&lt;$I107,0,IF($O107&lt;=S$7-1,0,$N107)))</f>
        <v>0</v>
      </c>
      <c r="T107" s="924">
        <f t="shared" ref="T107:T138" si="44">(IF(T$7&lt;$I107,0,IF($O107&lt;=T$7-1,0,$N107)))</f>
        <v>0</v>
      </c>
      <c r="U107" s="924">
        <f t="shared" si="36"/>
        <v>0</v>
      </c>
      <c r="V107" s="924">
        <f t="shared" si="36"/>
        <v>0</v>
      </c>
      <c r="W107" s="924">
        <f t="shared" si="36"/>
        <v>0</v>
      </c>
      <c r="X107" s="924">
        <f t="shared" si="36"/>
        <v>0</v>
      </c>
      <c r="Y107" s="112"/>
      <c r="Z107" s="924">
        <f t="shared" si="38"/>
        <v>0</v>
      </c>
      <c r="AA107" s="924">
        <f t="shared" si="38"/>
        <v>0</v>
      </c>
      <c r="AB107" s="924">
        <f t="shared" si="38"/>
        <v>0</v>
      </c>
      <c r="AC107" s="924">
        <f t="shared" si="38"/>
        <v>0</v>
      </c>
      <c r="AD107" s="924">
        <f t="shared" si="38"/>
        <v>0</v>
      </c>
      <c r="AE107" s="1231">
        <f t="shared" si="38"/>
        <v>0</v>
      </c>
      <c r="AF107" s="1231">
        <f t="shared" si="38"/>
        <v>0</v>
      </c>
      <c r="AH107" s="65"/>
    </row>
    <row r="108" spans="2:34" x14ac:dyDescent="0.3">
      <c r="B108" s="61"/>
      <c r="C108" s="114"/>
      <c r="D108" s="267"/>
      <c r="E108" s="267"/>
      <c r="F108" s="355"/>
      <c r="G108" s="105"/>
      <c r="H108" s="203"/>
      <c r="I108" s="105"/>
      <c r="J108" s="105"/>
      <c r="K108" s="112"/>
      <c r="L108" s="116">
        <f t="shared" ref="L108:L145" si="45">IF(J108="geen",9999999999,J108)</f>
        <v>0</v>
      </c>
      <c r="M108" s="924">
        <f t="shared" si="39"/>
        <v>0</v>
      </c>
      <c r="N108" s="924">
        <f t="shared" si="40"/>
        <v>0</v>
      </c>
      <c r="O108" s="1008" t="str">
        <f t="shared" si="41"/>
        <v>-</v>
      </c>
      <c r="P108" s="924">
        <f t="shared" si="34"/>
        <v>0</v>
      </c>
      <c r="Q108" s="112"/>
      <c r="R108" s="924">
        <f t="shared" si="42"/>
        <v>0</v>
      </c>
      <c r="S108" s="924">
        <f t="shared" si="43"/>
        <v>0</v>
      </c>
      <c r="T108" s="924">
        <f t="shared" si="44"/>
        <v>0</v>
      </c>
      <c r="U108" s="924">
        <f t="shared" si="36"/>
        <v>0</v>
      </c>
      <c r="V108" s="924">
        <f t="shared" si="36"/>
        <v>0</v>
      </c>
      <c r="W108" s="924">
        <f t="shared" si="36"/>
        <v>0</v>
      </c>
      <c r="X108" s="924">
        <f t="shared" si="36"/>
        <v>0</v>
      </c>
      <c r="Y108" s="112"/>
      <c r="Z108" s="924">
        <f t="shared" ref="Z108:AF117" si="46">IF(Z$7=$I108,($G108*$H108),0)</f>
        <v>0</v>
      </c>
      <c r="AA108" s="924">
        <f t="shared" si="46"/>
        <v>0</v>
      </c>
      <c r="AB108" s="924">
        <f t="shared" si="46"/>
        <v>0</v>
      </c>
      <c r="AC108" s="924">
        <f t="shared" si="46"/>
        <v>0</v>
      </c>
      <c r="AD108" s="924">
        <f t="shared" si="46"/>
        <v>0</v>
      </c>
      <c r="AE108" s="1231">
        <f t="shared" si="46"/>
        <v>0</v>
      </c>
      <c r="AF108" s="1231">
        <f t="shared" si="46"/>
        <v>0</v>
      </c>
      <c r="AH108" s="65"/>
    </row>
    <row r="109" spans="2:34" x14ac:dyDescent="0.3">
      <c r="B109" s="61"/>
      <c r="C109" s="114"/>
      <c r="D109" s="267"/>
      <c r="E109" s="267"/>
      <c r="F109" s="355"/>
      <c r="G109" s="105"/>
      <c r="H109" s="203"/>
      <c r="I109" s="105"/>
      <c r="J109" s="105"/>
      <c r="K109" s="112"/>
      <c r="L109" s="116">
        <f t="shared" si="45"/>
        <v>0</v>
      </c>
      <c r="M109" s="924">
        <f t="shared" si="39"/>
        <v>0</v>
      </c>
      <c r="N109" s="924">
        <f t="shared" si="40"/>
        <v>0</v>
      </c>
      <c r="O109" s="1008" t="str">
        <f t="shared" si="41"/>
        <v>-</v>
      </c>
      <c r="P109" s="924">
        <f t="shared" si="34"/>
        <v>0</v>
      </c>
      <c r="Q109" s="112"/>
      <c r="R109" s="924">
        <f t="shared" si="42"/>
        <v>0</v>
      </c>
      <c r="S109" s="924">
        <f t="shared" si="43"/>
        <v>0</v>
      </c>
      <c r="T109" s="924">
        <f t="shared" si="44"/>
        <v>0</v>
      </c>
      <c r="U109" s="924">
        <f t="shared" si="36"/>
        <v>0</v>
      </c>
      <c r="V109" s="924">
        <f t="shared" si="36"/>
        <v>0</v>
      </c>
      <c r="W109" s="924">
        <f t="shared" si="36"/>
        <v>0</v>
      </c>
      <c r="X109" s="924">
        <f t="shared" si="36"/>
        <v>0</v>
      </c>
      <c r="Y109" s="112"/>
      <c r="Z109" s="924">
        <f t="shared" si="46"/>
        <v>0</v>
      </c>
      <c r="AA109" s="924">
        <f t="shared" si="46"/>
        <v>0</v>
      </c>
      <c r="AB109" s="924">
        <f t="shared" si="46"/>
        <v>0</v>
      </c>
      <c r="AC109" s="924">
        <f t="shared" si="46"/>
        <v>0</v>
      </c>
      <c r="AD109" s="924">
        <f t="shared" si="46"/>
        <v>0</v>
      </c>
      <c r="AE109" s="1231">
        <f t="shared" si="46"/>
        <v>0</v>
      </c>
      <c r="AF109" s="1231">
        <f t="shared" si="46"/>
        <v>0</v>
      </c>
      <c r="AH109" s="65"/>
    </row>
    <row r="110" spans="2:34" x14ac:dyDescent="0.3">
      <c r="B110" s="61"/>
      <c r="C110" s="114"/>
      <c r="D110" s="267"/>
      <c r="E110" s="267"/>
      <c r="F110" s="355"/>
      <c r="G110" s="105"/>
      <c r="H110" s="203"/>
      <c r="I110" s="105"/>
      <c r="J110" s="105"/>
      <c r="K110" s="112"/>
      <c r="L110" s="116">
        <f t="shared" si="45"/>
        <v>0</v>
      </c>
      <c r="M110" s="924">
        <f t="shared" si="39"/>
        <v>0</v>
      </c>
      <c r="N110" s="924">
        <f t="shared" si="40"/>
        <v>0</v>
      </c>
      <c r="O110" s="1008" t="str">
        <f t="shared" si="41"/>
        <v>-</v>
      </c>
      <c r="P110" s="924">
        <f t="shared" si="34"/>
        <v>0</v>
      </c>
      <c r="Q110" s="112"/>
      <c r="R110" s="924">
        <f t="shared" si="42"/>
        <v>0</v>
      </c>
      <c r="S110" s="924">
        <f t="shared" si="43"/>
        <v>0</v>
      </c>
      <c r="T110" s="924">
        <f t="shared" si="44"/>
        <v>0</v>
      </c>
      <c r="U110" s="924">
        <f t="shared" si="36"/>
        <v>0</v>
      </c>
      <c r="V110" s="924">
        <f t="shared" si="36"/>
        <v>0</v>
      </c>
      <c r="W110" s="924">
        <f t="shared" si="36"/>
        <v>0</v>
      </c>
      <c r="X110" s="924">
        <f t="shared" si="36"/>
        <v>0</v>
      </c>
      <c r="Y110" s="112"/>
      <c r="Z110" s="924">
        <f t="shared" si="46"/>
        <v>0</v>
      </c>
      <c r="AA110" s="924">
        <f t="shared" si="46"/>
        <v>0</v>
      </c>
      <c r="AB110" s="924">
        <f t="shared" si="46"/>
        <v>0</v>
      </c>
      <c r="AC110" s="924">
        <f t="shared" si="46"/>
        <v>0</v>
      </c>
      <c r="AD110" s="924">
        <f t="shared" si="46"/>
        <v>0</v>
      </c>
      <c r="AE110" s="1231">
        <f t="shared" si="46"/>
        <v>0</v>
      </c>
      <c r="AF110" s="1231">
        <f t="shared" si="46"/>
        <v>0</v>
      </c>
      <c r="AH110" s="65"/>
    </row>
    <row r="111" spans="2:34" x14ac:dyDescent="0.3">
      <c r="B111" s="61"/>
      <c r="C111" s="114"/>
      <c r="D111" s="267"/>
      <c r="E111" s="267"/>
      <c r="F111" s="355"/>
      <c r="G111" s="105"/>
      <c r="H111" s="203"/>
      <c r="I111" s="105"/>
      <c r="J111" s="105"/>
      <c r="K111" s="112"/>
      <c r="L111" s="116">
        <f t="shared" si="45"/>
        <v>0</v>
      </c>
      <c r="M111" s="924">
        <f t="shared" si="39"/>
        <v>0</v>
      </c>
      <c r="N111" s="924">
        <f t="shared" si="40"/>
        <v>0</v>
      </c>
      <c r="O111" s="1008" t="str">
        <f t="shared" si="41"/>
        <v>-</v>
      </c>
      <c r="P111" s="924">
        <f t="shared" si="34"/>
        <v>0</v>
      </c>
      <c r="Q111" s="112"/>
      <c r="R111" s="924">
        <f t="shared" si="42"/>
        <v>0</v>
      </c>
      <c r="S111" s="924">
        <f t="shared" si="43"/>
        <v>0</v>
      </c>
      <c r="T111" s="924">
        <f t="shared" si="44"/>
        <v>0</v>
      </c>
      <c r="U111" s="924">
        <f t="shared" si="36"/>
        <v>0</v>
      </c>
      <c r="V111" s="924">
        <f t="shared" si="36"/>
        <v>0</v>
      </c>
      <c r="W111" s="924">
        <f t="shared" si="36"/>
        <v>0</v>
      </c>
      <c r="X111" s="924">
        <f t="shared" si="36"/>
        <v>0</v>
      </c>
      <c r="Y111" s="112"/>
      <c r="Z111" s="924">
        <f t="shared" si="46"/>
        <v>0</v>
      </c>
      <c r="AA111" s="924">
        <f t="shared" si="46"/>
        <v>0</v>
      </c>
      <c r="AB111" s="924">
        <f t="shared" si="46"/>
        <v>0</v>
      </c>
      <c r="AC111" s="924">
        <f t="shared" si="46"/>
        <v>0</v>
      </c>
      <c r="AD111" s="924">
        <f t="shared" si="46"/>
        <v>0</v>
      </c>
      <c r="AE111" s="1231">
        <f t="shared" si="46"/>
        <v>0</v>
      </c>
      <c r="AF111" s="1231">
        <f t="shared" si="46"/>
        <v>0</v>
      </c>
      <c r="AH111" s="65"/>
    </row>
    <row r="112" spans="2:34" x14ac:dyDescent="0.3">
      <c r="B112" s="61"/>
      <c r="C112" s="114"/>
      <c r="D112" s="267"/>
      <c r="E112" s="267"/>
      <c r="F112" s="355"/>
      <c r="G112" s="105"/>
      <c r="H112" s="203"/>
      <c r="I112" s="105"/>
      <c r="J112" s="105"/>
      <c r="K112" s="112"/>
      <c r="L112" s="116">
        <f t="shared" si="45"/>
        <v>0</v>
      </c>
      <c r="M112" s="924">
        <f t="shared" si="39"/>
        <v>0</v>
      </c>
      <c r="N112" s="924">
        <f t="shared" si="40"/>
        <v>0</v>
      </c>
      <c r="O112" s="1008" t="str">
        <f t="shared" si="41"/>
        <v>-</v>
      </c>
      <c r="P112" s="924">
        <f t="shared" si="34"/>
        <v>0</v>
      </c>
      <c r="Q112" s="112"/>
      <c r="R112" s="924">
        <f t="shared" si="42"/>
        <v>0</v>
      </c>
      <c r="S112" s="924">
        <f t="shared" si="43"/>
        <v>0</v>
      </c>
      <c r="T112" s="924">
        <f t="shared" si="44"/>
        <v>0</v>
      </c>
      <c r="U112" s="924">
        <f t="shared" si="36"/>
        <v>0</v>
      </c>
      <c r="V112" s="924">
        <f t="shared" si="36"/>
        <v>0</v>
      </c>
      <c r="W112" s="924">
        <f t="shared" si="36"/>
        <v>0</v>
      </c>
      <c r="X112" s="924">
        <f t="shared" si="36"/>
        <v>0</v>
      </c>
      <c r="Y112" s="112"/>
      <c r="Z112" s="924">
        <f t="shared" si="46"/>
        <v>0</v>
      </c>
      <c r="AA112" s="924">
        <f t="shared" si="46"/>
        <v>0</v>
      </c>
      <c r="AB112" s="924">
        <f t="shared" si="46"/>
        <v>0</v>
      </c>
      <c r="AC112" s="924">
        <f t="shared" si="46"/>
        <v>0</v>
      </c>
      <c r="AD112" s="924">
        <f t="shared" si="46"/>
        <v>0</v>
      </c>
      <c r="AE112" s="1231">
        <f t="shared" si="46"/>
        <v>0</v>
      </c>
      <c r="AF112" s="1231">
        <f t="shared" si="46"/>
        <v>0</v>
      </c>
      <c r="AH112" s="65"/>
    </row>
    <row r="113" spans="2:34" x14ac:dyDescent="0.3">
      <c r="B113" s="61"/>
      <c r="C113" s="114"/>
      <c r="D113" s="267"/>
      <c r="E113" s="267"/>
      <c r="F113" s="355"/>
      <c r="G113" s="105"/>
      <c r="H113" s="203"/>
      <c r="I113" s="105"/>
      <c r="J113" s="105"/>
      <c r="K113" s="112"/>
      <c r="L113" s="116">
        <f t="shared" si="45"/>
        <v>0</v>
      </c>
      <c r="M113" s="924">
        <f t="shared" si="39"/>
        <v>0</v>
      </c>
      <c r="N113" s="924">
        <f t="shared" si="40"/>
        <v>0</v>
      </c>
      <c r="O113" s="1008" t="str">
        <f t="shared" si="41"/>
        <v>-</v>
      </c>
      <c r="P113" s="924">
        <f t="shared" si="34"/>
        <v>0</v>
      </c>
      <c r="Q113" s="112"/>
      <c r="R113" s="924">
        <f t="shared" si="42"/>
        <v>0</v>
      </c>
      <c r="S113" s="924">
        <f t="shared" si="43"/>
        <v>0</v>
      </c>
      <c r="T113" s="924">
        <f t="shared" si="44"/>
        <v>0</v>
      </c>
      <c r="U113" s="924">
        <f t="shared" ref="U113:X132" si="47">(IF(U$7&lt;$I113,0,IF($O113&lt;=U$7-1,0,$N113)))</f>
        <v>0</v>
      </c>
      <c r="V113" s="924">
        <f t="shared" si="47"/>
        <v>0</v>
      </c>
      <c r="W113" s="924">
        <f t="shared" si="47"/>
        <v>0</v>
      </c>
      <c r="X113" s="924">
        <f t="shared" si="47"/>
        <v>0</v>
      </c>
      <c r="Y113" s="112"/>
      <c r="Z113" s="924">
        <f t="shared" si="46"/>
        <v>0</v>
      </c>
      <c r="AA113" s="924">
        <f t="shared" si="46"/>
        <v>0</v>
      </c>
      <c r="AB113" s="924">
        <f t="shared" si="46"/>
        <v>0</v>
      </c>
      <c r="AC113" s="924">
        <f t="shared" si="46"/>
        <v>0</v>
      </c>
      <c r="AD113" s="924">
        <f t="shared" si="46"/>
        <v>0</v>
      </c>
      <c r="AE113" s="1231">
        <f t="shared" si="46"/>
        <v>0</v>
      </c>
      <c r="AF113" s="1231">
        <f t="shared" si="46"/>
        <v>0</v>
      </c>
      <c r="AH113" s="65"/>
    </row>
    <row r="114" spans="2:34" x14ac:dyDescent="0.3">
      <c r="B114" s="61"/>
      <c r="C114" s="114"/>
      <c r="D114" s="267"/>
      <c r="E114" s="267"/>
      <c r="F114" s="355"/>
      <c r="G114" s="105"/>
      <c r="H114" s="203"/>
      <c r="I114" s="105"/>
      <c r="J114" s="105"/>
      <c r="K114" s="112"/>
      <c r="L114" s="116">
        <f t="shared" si="45"/>
        <v>0</v>
      </c>
      <c r="M114" s="924">
        <f t="shared" si="39"/>
        <v>0</v>
      </c>
      <c r="N114" s="924">
        <f t="shared" si="40"/>
        <v>0</v>
      </c>
      <c r="O114" s="1008" t="str">
        <f t="shared" si="41"/>
        <v>-</v>
      </c>
      <c r="P114" s="924">
        <f t="shared" si="34"/>
        <v>0</v>
      </c>
      <c r="Q114" s="112"/>
      <c r="R114" s="924">
        <f t="shared" si="42"/>
        <v>0</v>
      </c>
      <c r="S114" s="924">
        <f t="shared" si="43"/>
        <v>0</v>
      </c>
      <c r="T114" s="924">
        <f t="shared" si="44"/>
        <v>0</v>
      </c>
      <c r="U114" s="924">
        <f t="shared" si="47"/>
        <v>0</v>
      </c>
      <c r="V114" s="924">
        <f t="shared" si="47"/>
        <v>0</v>
      </c>
      <c r="W114" s="924">
        <f t="shared" si="47"/>
        <v>0</v>
      </c>
      <c r="X114" s="924">
        <f t="shared" si="47"/>
        <v>0</v>
      </c>
      <c r="Y114" s="112"/>
      <c r="Z114" s="924">
        <f t="shared" si="46"/>
        <v>0</v>
      </c>
      <c r="AA114" s="924">
        <f t="shared" si="46"/>
        <v>0</v>
      </c>
      <c r="AB114" s="924">
        <f t="shared" si="46"/>
        <v>0</v>
      </c>
      <c r="AC114" s="924">
        <f t="shared" si="46"/>
        <v>0</v>
      </c>
      <c r="AD114" s="924">
        <f t="shared" si="46"/>
        <v>0</v>
      </c>
      <c r="AE114" s="1231">
        <f t="shared" si="46"/>
        <v>0</v>
      </c>
      <c r="AF114" s="1231">
        <f t="shared" si="46"/>
        <v>0</v>
      </c>
      <c r="AH114" s="65"/>
    </row>
    <row r="115" spans="2:34" x14ac:dyDescent="0.3">
      <c r="B115" s="61"/>
      <c r="C115" s="114"/>
      <c r="D115" s="267"/>
      <c r="E115" s="267"/>
      <c r="F115" s="355"/>
      <c r="G115" s="105"/>
      <c r="H115" s="203"/>
      <c r="I115" s="105"/>
      <c r="J115" s="105"/>
      <c r="K115" s="112"/>
      <c r="L115" s="116">
        <f t="shared" si="45"/>
        <v>0</v>
      </c>
      <c r="M115" s="924">
        <f t="shared" si="39"/>
        <v>0</v>
      </c>
      <c r="N115" s="924">
        <f t="shared" si="40"/>
        <v>0</v>
      </c>
      <c r="O115" s="1008" t="str">
        <f t="shared" si="41"/>
        <v>-</v>
      </c>
      <c r="P115" s="924">
        <f t="shared" si="34"/>
        <v>0</v>
      </c>
      <c r="Q115" s="112"/>
      <c r="R115" s="924">
        <f t="shared" si="42"/>
        <v>0</v>
      </c>
      <c r="S115" s="924">
        <f t="shared" si="43"/>
        <v>0</v>
      </c>
      <c r="T115" s="924">
        <f t="shared" si="44"/>
        <v>0</v>
      </c>
      <c r="U115" s="924">
        <f t="shared" si="47"/>
        <v>0</v>
      </c>
      <c r="V115" s="924">
        <f t="shared" si="47"/>
        <v>0</v>
      </c>
      <c r="W115" s="924">
        <f t="shared" si="47"/>
        <v>0</v>
      </c>
      <c r="X115" s="924">
        <f t="shared" si="47"/>
        <v>0</v>
      </c>
      <c r="Y115" s="112"/>
      <c r="Z115" s="924">
        <f t="shared" si="46"/>
        <v>0</v>
      </c>
      <c r="AA115" s="924">
        <f t="shared" si="46"/>
        <v>0</v>
      </c>
      <c r="AB115" s="924">
        <f t="shared" si="46"/>
        <v>0</v>
      </c>
      <c r="AC115" s="924">
        <f t="shared" si="46"/>
        <v>0</v>
      </c>
      <c r="AD115" s="924">
        <f t="shared" si="46"/>
        <v>0</v>
      </c>
      <c r="AE115" s="1231">
        <f t="shared" si="46"/>
        <v>0</v>
      </c>
      <c r="AF115" s="1231">
        <f t="shared" si="46"/>
        <v>0</v>
      </c>
      <c r="AH115" s="65"/>
    </row>
    <row r="116" spans="2:34" x14ac:dyDescent="0.3">
      <c r="B116" s="61"/>
      <c r="C116" s="114"/>
      <c r="D116" s="267"/>
      <c r="E116" s="267"/>
      <c r="F116" s="355"/>
      <c r="G116" s="105"/>
      <c r="H116" s="203"/>
      <c r="I116" s="105"/>
      <c r="J116" s="105"/>
      <c r="K116" s="112"/>
      <c r="L116" s="116">
        <f t="shared" si="45"/>
        <v>0</v>
      </c>
      <c r="M116" s="924">
        <f t="shared" si="39"/>
        <v>0</v>
      </c>
      <c r="N116" s="924">
        <f t="shared" si="40"/>
        <v>0</v>
      </c>
      <c r="O116" s="1008" t="str">
        <f t="shared" si="41"/>
        <v>-</v>
      </c>
      <c r="P116" s="924">
        <f t="shared" si="34"/>
        <v>0</v>
      </c>
      <c r="Q116" s="112"/>
      <c r="R116" s="924">
        <f t="shared" si="42"/>
        <v>0</v>
      </c>
      <c r="S116" s="924">
        <f t="shared" si="43"/>
        <v>0</v>
      </c>
      <c r="T116" s="924">
        <f t="shared" si="44"/>
        <v>0</v>
      </c>
      <c r="U116" s="924">
        <f t="shared" si="47"/>
        <v>0</v>
      </c>
      <c r="V116" s="924">
        <f t="shared" si="47"/>
        <v>0</v>
      </c>
      <c r="W116" s="924">
        <f t="shared" si="47"/>
        <v>0</v>
      </c>
      <c r="X116" s="924">
        <f t="shared" si="47"/>
        <v>0</v>
      </c>
      <c r="Y116" s="112"/>
      <c r="Z116" s="924">
        <f t="shared" si="46"/>
        <v>0</v>
      </c>
      <c r="AA116" s="924">
        <f t="shared" si="46"/>
        <v>0</v>
      </c>
      <c r="AB116" s="924">
        <f t="shared" si="46"/>
        <v>0</v>
      </c>
      <c r="AC116" s="924">
        <f t="shared" si="46"/>
        <v>0</v>
      </c>
      <c r="AD116" s="924">
        <f t="shared" si="46"/>
        <v>0</v>
      </c>
      <c r="AE116" s="1231">
        <f t="shared" si="46"/>
        <v>0</v>
      </c>
      <c r="AF116" s="1231">
        <f t="shared" si="46"/>
        <v>0</v>
      </c>
      <c r="AH116" s="65"/>
    </row>
    <row r="117" spans="2:34" x14ac:dyDescent="0.3">
      <c r="B117" s="61"/>
      <c r="C117" s="114"/>
      <c r="D117" s="267"/>
      <c r="E117" s="267"/>
      <c r="F117" s="355"/>
      <c r="G117" s="105"/>
      <c r="H117" s="203"/>
      <c r="I117" s="105"/>
      <c r="J117" s="105"/>
      <c r="K117" s="112"/>
      <c r="L117" s="116">
        <f t="shared" si="45"/>
        <v>0</v>
      </c>
      <c r="M117" s="924">
        <f t="shared" si="39"/>
        <v>0</v>
      </c>
      <c r="N117" s="924">
        <f t="shared" si="40"/>
        <v>0</v>
      </c>
      <c r="O117" s="1008" t="str">
        <f t="shared" si="41"/>
        <v>-</v>
      </c>
      <c r="P117" s="924">
        <f t="shared" si="34"/>
        <v>0</v>
      </c>
      <c r="Q117" s="112"/>
      <c r="R117" s="924">
        <f t="shared" si="42"/>
        <v>0</v>
      </c>
      <c r="S117" s="924">
        <f t="shared" si="43"/>
        <v>0</v>
      </c>
      <c r="T117" s="924">
        <f t="shared" si="44"/>
        <v>0</v>
      </c>
      <c r="U117" s="924">
        <f t="shared" si="47"/>
        <v>0</v>
      </c>
      <c r="V117" s="924">
        <f t="shared" si="47"/>
        <v>0</v>
      </c>
      <c r="W117" s="924">
        <f t="shared" si="47"/>
        <v>0</v>
      </c>
      <c r="X117" s="924">
        <f t="shared" si="47"/>
        <v>0</v>
      </c>
      <c r="Y117" s="112"/>
      <c r="Z117" s="924">
        <f t="shared" si="46"/>
        <v>0</v>
      </c>
      <c r="AA117" s="924">
        <f t="shared" si="46"/>
        <v>0</v>
      </c>
      <c r="AB117" s="924">
        <f t="shared" si="46"/>
        <v>0</v>
      </c>
      <c r="AC117" s="924">
        <f t="shared" si="46"/>
        <v>0</v>
      </c>
      <c r="AD117" s="924">
        <f t="shared" si="46"/>
        <v>0</v>
      </c>
      <c r="AE117" s="1231">
        <f t="shared" si="46"/>
        <v>0</v>
      </c>
      <c r="AF117" s="1231">
        <f t="shared" si="46"/>
        <v>0</v>
      </c>
      <c r="AH117" s="65"/>
    </row>
    <row r="118" spans="2:34" x14ac:dyDescent="0.3">
      <c r="B118" s="61"/>
      <c r="C118" s="114"/>
      <c r="D118" s="267"/>
      <c r="E118" s="267"/>
      <c r="F118" s="355"/>
      <c r="G118" s="105"/>
      <c r="H118" s="203"/>
      <c r="I118" s="105"/>
      <c r="J118" s="105"/>
      <c r="K118" s="112"/>
      <c r="L118" s="116">
        <f t="shared" si="45"/>
        <v>0</v>
      </c>
      <c r="M118" s="924">
        <f t="shared" si="39"/>
        <v>0</v>
      </c>
      <c r="N118" s="924">
        <f t="shared" si="40"/>
        <v>0</v>
      </c>
      <c r="O118" s="1008" t="str">
        <f t="shared" si="41"/>
        <v>-</v>
      </c>
      <c r="P118" s="924">
        <f t="shared" si="34"/>
        <v>0</v>
      </c>
      <c r="Q118" s="112"/>
      <c r="R118" s="924">
        <f t="shared" si="42"/>
        <v>0</v>
      </c>
      <c r="S118" s="924">
        <f t="shared" si="43"/>
        <v>0</v>
      </c>
      <c r="T118" s="924">
        <f t="shared" si="44"/>
        <v>0</v>
      </c>
      <c r="U118" s="924">
        <f t="shared" si="47"/>
        <v>0</v>
      </c>
      <c r="V118" s="924">
        <f t="shared" si="47"/>
        <v>0</v>
      </c>
      <c r="W118" s="924">
        <f t="shared" si="47"/>
        <v>0</v>
      </c>
      <c r="X118" s="924">
        <f t="shared" si="47"/>
        <v>0</v>
      </c>
      <c r="Y118" s="112"/>
      <c r="Z118" s="924">
        <f t="shared" ref="Z118:AF127" si="48">IF(Z$7=$I118,($G118*$H118),0)</f>
        <v>0</v>
      </c>
      <c r="AA118" s="924">
        <f t="shared" si="48"/>
        <v>0</v>
      </c>
      <c r="AB118" s="924">
        <f t="shared" si="48"/>
        <v>0</v>
      </c>
      <c r="AC118" s="924">
        <f t="shared" si="48"/>
        <v>0</v>
      </c>
      <c r="AD118" s="924">
        <f t="shared" si="48"/>
        <v>0</v>
      </c>
      <c r="AE118" s="1231">
        <f t="shared" si="48"/>
        <v>0</v>
      </c>
      <c r="AF118" s="1231">
        <f t="shared" si="48"/>
        <v>0</v>
      </c>
      <c r="AH118" s="65"/>
    </row>
    <row r="119" spans="2:34" x14ac:dyDescent="0.3">
      <c r="B119" s="61"/>
      <c r="C119" s="114"/>
      <c r="D119" s="267"/>
      <c r="E119" s="267"/>
      <c r="F119" s="355"/>
      <c r="G119" s="105"/>
      <c r="H119" s="203"/>
      <c r="I119" s="105"/>
      <c r="J119" s="105"/>
      <c r="K119" s="112"/>
      <c r="L119" s="116">
        <f t="shared" si="45"/>
        <v>0</v>
      </c>
      <c r="M119" s="924">
        <f t="shared" si="39"/>
        <v>0</v>
      </c>
      <c r="N119" s="924">
        <f t="shared" si="40"/>
        <v>0</v>
      </c>
      <c r="O119" s="1008" t="str">
        <f t="shared" si="41"/>
        <v>-</v>
      </c>
      <c r="P119" s="924">
        <f t="shared" si="34"/>
        <v>0</v>
      </c>
      <c r="Q119" s="112"/>
      <c r="R119" s="924">
        <f t="shared" si="42"/>
        <v>0</v>
      </c>
      <c r="S119" s="924">
        <f t="shared" si="43"/>
        <v>0</v>
      </c>
      <c r="T119" s="924">
        <f t="shared" si="44"/>
        <v>0</v>
      </c>
      <c r="U119" s="924">
        <f t="shared" si="47"/>
        <v>0</v>
      </c>
      <c r="V119" s="924">
        <f t="shared" si="47"/>
        <v>0</v>
      </c>
      <c r="W119" s="924">
        <f t="shared" si="47"/>
        <v>0</v>
      </c>
      <c r="X119" s="924">
        <f t="shared" si="47"/>
        <v>0</v>
      </c>
      <c r="Y119" s="112"/>
      <c r="Z119" s="924">
        <f t="shared" si="48"/>
        <v>0</v>
      </c>
      <c r="AA119" s="924">
        <f t="shared" si="48"/>
        <v>0</v>
      </c>
      <c r="AB119" s="924">
        <f t="shared" si="48"/>
        <v>0</v>
      </c>
      <c r="AC119" s="924">
        <f t="shared" si="48"/>
        <v>0</v>
      </c>
      <c r="AD119" s="924">
        <f t="shared" si="48"/>
        <v>0</v>
      </c>
      <c r="AE119" s="1231">
        <f t="shared" si="48"/>
        <v>0</v>
      </c>
      <c r="AF119" s="1231">
        <f t="shared" si="48"/>
        <v>0</v>
      </c>
      <c r="AH119" s="65"/>
    </row>
    <row r="120" spans="2:34" x14ac:dyDescent="0.3">
      <c r="B120" s="61"/>
      <c r="C120" s="114"/>
      <c r="D120" s="267"/>
      <c r="E120" s="267"/>
      <c r="F120" s="355"/>
      <c r="G120" s="105"/>
      <c r="H120" s="203"/>
      <c r="I120" s="105"/>
      <c r="J120" s="105"/>
      <c r="K120" s="112"/>
      <c r="L120" s="116">
        <f t="shared" si="45"/>
        <v>0</v>
      </c>
      <c r="M120" s="924">
        <f t="shared" si="39"/>
        <v>0</v>
      </c>
      <c r="N120" s="924">
        <f t="shared" si="40"/>
        <v>0</v>
      </c>
      <c r="O120" s="1008" t="str">
        <f t="shared" si="41"/>
        <v>-</v>
      </c>
      <c r="P120" s="924">
        <f t="shared" si="34"/>
        <v>0</v>
      </c>
      <c r="Q120" s="112"/>
      <c r="R120" s="924">
        <f t="shared" si="42"/>
        <v>0</v>
      </c>
      <c r="S120" s="924">
        <f t="shared" si="43"/>
        <v>0</v>
      </c>
      <c r="T120" s="924">
        <f t="shared" si="44"/>
        <v>0</v>
      </c>
      <c r="U120" s="924">
        <f t="shared" si="47"/>
        <v>0</v>
      </c>
      <c r="V120" s="924">
        <f t="shared" si="47"/>
        <v>0</v>
      </c>
      <c r="W120" s="924">
        <f t="shared" si="47"/>
        <v>0</v>
      </c>
      <c r="X120" s="924">
        <f t="shared" si="47"/>
        <v>0</v>
      </c>
      <c r="Y120" s="112"/>
      <c r="Z120" s="924">
        <f t="shared" si="48"/>
        <v>0</v>
      </c>
      <c r="AA120" s="924">
        <f t="shared" si="48"/>
        <v>0</v>
      </c>
      <c r="AB120" s="924">
        <f t="shared" si="48"/>
        <v>0</v>
      </c>
      <c r="AC120" s="924">
        <f t="shared" si="48"/>
        <v>0</v>
      </c>
      <c r="AD120" s="924">
        <f t="shared" si="48"/>
        <v>0</v>
      </c>
      <c r="AE120" s="1231">
        <f t="shared" si="48"/>
        <v>0</v>
      </c>
      <c r="AF120" s="1231">
        <f t="shared" si="48"/>
        <v>0</v>
      </c>
      <c r="AH120" s="65"/>
    </row>
    <row r="121" spans="2:34" x14ac:dyDescent="0.3">
      <c r="B121" s="61"/>
      <c r="C121" s="114"/>
      <c r="D121" s="267"/>
      <c r="E121" s="267"/>
      <c r="F121" s="355"/>
      <c r="G121" s="105"/>
      <c r="H121" s="203"/>
      <c r="I121" s="105"/>
      <c r="J121" s="105"/>
      <c r="K121" s="112"/>
      <c r="L121" s="116">
        <f t="shared" si="45"/>
        <v>0</v>
      </c>
      <c r="M121" s="924">
        <f t="shared" si="39"/>
        <v>0</v>
      </c>
      <c r="N121" s="924">
        <f t="shared" si="40"/>
        <v>0</v>
      </c>
      <c r="O121" s="1008" t="str">
        <f t="shared" si="41"/>
        <v>-</v>
      </c>
      <c r="P121" s="924">
        <f t="shared" si="34"/>
        <v>0</v>
      </c>
      <c r="Q121" s="112"/>
      <c r="R121" s="924">
        <f t="shared" si="42"/>
        <v>0</v>
      </c>
      <c r="S121" s="924">
        <f t="shared" si="43"/>
        <v>0</v>
      </c>
      <c r="T121" s="924">
        <f t="shared" si="44"/>
        <v>0</v>
      </c>
      <c r="U121" s="924">
        <f t="shared" si="47"/>
        <v>0</v>
      </c>
      <c r="V121" s="924">
        <f t="shared" si="47"/>
        <v>0</v>
      </c>
      <c r="W121" s="924">
        <f t="shared" si="47"/>
        <v>0</v>
      </c>
      <c r="X121" s="924">
        <f t="shared" si="47"/>
        <v>0</v>
      </c>
      <c r="Y121" s="112"/>
      <c r="Z121" s="924">
        <f t="shared" si="48"/>
        <v>0</v>
      </c>
      <c r="AA121" s="924">
        <f t="shared" si="48"/>
        <v>0</v>
      </c>
      <c r="AB121" s="924">
        <f t="shared" si="48"/>
        <v>0</v>
      </c>
      <c r="AC121" s="924">
        <f t="shared" si="48"/>
        <v>0</v>
      </c>
      <c r="AD121" s="924">
        <f t="shared" si="48"/>
        <v>0</v>
      </c>
      <c r="AE121" s="1231">
        <f t="shared" si="48"/>
        <v>0</v>
      </c>
      <c r="AF121" s="1231">
        <f t="shared" si="48"/>
        <v>0</v>
      </c>
      <c r="AH121" s="65"/>
    </row>
    <row r="122" spans="2:34" x14ac:dyDescent="0.3">
      <c r="B122" s="61"/>
      <c r="C122" s="114"/>
      <c r="D122" s="267"/>
      <c r="E122" s="267"/>
      <c r="F122" s="355"/>
      <c r="G122" s="105"/>
      <c r="H122" s="203"/>
      <c r="I122" s="105"/>
      <c r="J122" s="105"/>
      <c r="K122" s="112"/>
      <c r="L122" s="116">
        <f t="shared" si="45"/>
        <v>0</v>
      </c>
      <c r="M122" s="924">
        <f t="shared" si="39"/>
        <v>0</v>
      </c>
      <c r="N122" s="924">
        <f t="shared" si="40"/>
        <v>0</v>
      </c>
      <c r="O122" s="1008" t="str">
        <f t="shared" si="41"/>
        <v>-</v>
      </c>
      <c r="P122" s="924">
        <f t="shared" si="34"/>
        <v>0</v>
      </c>
      <c r="Q122" s="112"/>
      <c r="R122" s="924">
        <f t="shared" si="42"/>
        <v>0</v>
      </c>
      <c r="S122" s="924">
        <f t="shared" si="43"/>
        <v>0</v>
      </c>
      <c r="T122" s="924">
        <f t="shared" si="44"/>
        <v>0</v>
      </c>
      <c r="U122" s="924">
        <f t="shared" si="47"/>
        <v>0</v>
      </c>
      <c r="V122" s="924">
        <f t="shared" si="47"/>
        <v>0</v>
      </c>
      <c r="W122" s="924">
        <f t="shared" si="47"/>
        <v>0</v>
      </c>
      <c r="X122" s="924">
        <f t="shared" si="47"/>
        <v>0</v>
      </c>
      <c r="Y122" s="112"/>
      <c r="Z122" s="924">
        <f t="shared" si="48"/>
        <v>0</v>
      </c>
      <c r="AA122" s="924">
        <f t="shared" si="48"/>
        <v>0</v>
      </c>
      <c r="AB122" s="924">
        <f t="shared" si="48"/>
        <v>0</v>
      </c>
      <c r="AC122" s="924">
        <f t="shared" si="48"/>
        <v>0</v>
      </c>
      <c r="AD122" s="924">
        <f t="shared" si="48"/>
        <v>0</v>
      </c>
      <c r="AE122" s="1231">
        <f t="shared" si="48"/>
        <v>0</v>
      </c>
      <c r="AF122" s="1231">
        <f t="shared" si="48"/>
        <v>0</v>
      </c>
      <c r="AH122" s="65"/>
    </row>
    <row r="123" spans="2:34" x14ac:dyDescent="0.3">
      <c r="B123" s="61"/>
      <c r="C123" s="114"/>
      <c r="D123" s="267"/>
      <c r="E123" s="267"/>
      <c r="F123" s="355"/>
      <c r="G123" s="105"/>
      <c r="H123" s="203"/>
      <c r="I123" s="105"/>
      <c r="J123" s="105"/>
      <c r="K123" s="112"/>
      <c r="L123" s="116">
        <f t="shared" si="45"/>
        <v>0</v>
      </c>
      <c r="M123" s="924">
        <f t="shared" si="39"/>
        <v>0</v>
      </c>
      <c r="N123" s="924">
        <f t="shared" si="40"/>
        <v>0</v>
      </c>
      <c r="O123" s="1008" t="str">
        <f t="shared" si="41"/>
        <v>-</v>
      </c>
      <c r="P123" s="924">
        <f t="shared" si="34"/>
        <v>0</v>
      </c>
      <c r="Q123" s="112"/>
      <c r="R123" s="924">
        <f t="shared" si="42"/>
        <v>0</v>
      </c>
      <c r="S123" s="924">
        <f t="shared" si="43"/>
        <v>0</v>
      </c>
      <c r="T123" s="924">
        <f t="shared" si="44"/>
        <v>0</v>
      </c>
      <c r="U123" s="924">
        <f t="shared" si="47"/>
        <v>0</v>
      </c>
      <c r="V123" s="924">
        <f t="shared" si="47"/>
        <v>0</v>
      </c>
      <c r="W123" s="924">
        <f t="shared" si="47"/>
        <v>0</v>
      </c>
      <c r="X123" s="924">
        <f t="shared" si="47"/>
        <v>0</v>
      </c>
      <c r="Y123" s="112"/>
      <c r="Z123" s="924">
        <f t="shared" si="48"/>
        <v>0</v>
      </c>
      <c r="AA123" s="924">
        <f t="shared" si="48"/>
        <v>0</v>
      </c>
      <c r="AB123" s="924">
        <f t="shared" si="48"/>
        <v>0</v>
      </c>
      <c r="AC123" s="924">
        <f t="shared" si="48"/>
        <v>0</v>
      </c>
      <c r="AD123" s="924">
        <f t="shared" si="48"/>
        <v>0</v>
      </c>
      <c r="AE123" s="1231">
        <f t="shared" si="48"/>
        <v>0</v>
      </c>
      <c r="AF123" s="1231">
        <f t="shared" si="48"/>
        <v>0</v>
      </c>
      <c r="AH123" s="65"/>
    </row>
    <row r="124" spans="2:34" x14ac:dyDescent="0.3">
      <c r="B124" s="61"/>
      <c r="C124" s="114"/>
      <c r="D124" s="267"/>
      <c r="E124" s="267"/>
      <c r="F124" s="355"/>
      <c r="G124" s="105"/>
      <c r="H124" s="203"/>
      <c r="I124" s="105"/>
      <c r="J124" s="105"/>
      <c r="K124" s="112"/>
      <c r="L124" s="116">
        <f t="shared" si="45"/>
        <v>0</v>
      </c>
      <c r="M124" s="924">
        <f t="shared" si="39"/>
        <v>0</v>
      </c>
      <c r="N124" s="924">
        <f t="shared" si="40"/>
        <v>0</v>
      </c>
      <c r="O124" s="1008" t="str">
        <f t="shared" si="41"/>
        <v>-</v>
      </c>
      <c r="P124" s="924">
        <f t="shared" si="34"/>
        <v>0</v>
      </c>
      <c r="Q124" s="112"/>
      <c r="R124" s="924">
        <f t="shared" si="42"/>
        <v>0</v>
      </c>
      <c r="S124" s="924">
        <f t="shared" si="43"/>
        <v>0</v>
      </c>
      <c r="T124" s="924">
        <f t="shared" si="44"/>
        <v>0</v>
      </c>
      <c r="U124" s="924">
        <f t="shared" si="47"/>
        <v>0</v>
      </c>
      <c r="V124" s="924">
        <f t="shared" si="47"/>
        <v>0</v>
      </c>
      <c r="W124" s="924">
        <f t="shared" si="47"/>
        <v>0</v>
      </c>
      <c r="X124" s="924">
        <f t="shared" si="47"/>
        <v>0</v>
      </c>
      <c r="Y124" s="112"/>
      <c r="Z124" s="924">
        <f t="shared" si="48"/>
        <v>0</v>
      </c>
      <c r="AA124" s="924">
        <f t="shared" si="48"/>
        <v>0</v>
      </c>
      <c r="AB124" s="924">
        <f t="shared" si="48"/>
        <v>0</v>
      </c>
      <c r="AC124" s="924">
        <f t="shared" si="48"/>
        <v>0</v>
      </c>
      <c r="AD124" s="924">
        <f t="shared" si="48"/>
        <v>0</v>
      </c>
      <c r="AE124" s="1231">
        <f t="shared" si="48"/>
        <v>0</v>
      </c>
      <c r="AF124" s="1231">
        <f t="shared" si="48"/>
        <v>0</v>
      </c>
      <c r="AH124" s="65"/>
    </row>
    <row r="125" spans="2:34" x14ac:dyDescent="0.3">
      <c r="B125" s="61"/>
      <c r="C125" s="114"/>
      <c r="D125" s="267"/>
      <c r="E125" s="267"/>
      <c r="F125" s="355"/>
      <c r="G125" s="105"/>
      <c r="H125" s="203"/>
      <c r="I125" s="105"/>
      <c r="J125" s="105"/>
      <c r="K125" s="112"/>
      <c r="L125" s="116">
        <f t="shared" si="45"/>
        <v>0</v>
      </c>
      <c r="M125" s="924">
        <f t="shared" si="39"/>
        <v>0</v>
      </c>
      <c r="N125" s="924">
        <f t="shared" si="40"/>
        <v>0</v>
      </c>
      <c r="O125" s="1008" t="str">
        <f t="shared" si="41"/>
        <v>-</v>
      </c>
      <c r="P125" s="924">
        <f t="shared" si="34"/>
        <v>0</v>
      </c>
      <c r="Q125" s="112"/>
      <c r="R125" s="924">
        <f t="shared" si="42"/>
        <v>0</v>
      </c>
      <c r="S125" s="924">
        <f t="shared" si="43"/>
        <v>0</v>
      </c>
      <c r="T125" s="924">
        <f t="shared" si="44"/>
        <v>0</v>
      </c>
      <c r="U125" s="924">
        <f t="shared" si="47"/>
        <v>0</v>
      </c>
      <c r="V125" s="924">
        <f t="shared" si="47"/>
        <v>0</v>
      </c>
      <c r="W125" s="924">
        <f t="shared" si="47"/>
        <v>0</v>
      </c>
      <c r="X125" s="924">
        <f t="shared" si="47"/>
        <v>0</v>
      </c>
      <c r="Y125" s="112"/>
      <c r="Z125" s="924">
        <f t="shared" si="48"/>
        <v>0</v>
      </c>
      <c r="AA125" s="924">
        <f t="shared" si="48"/>
        <v>0</v>
      </c>
      <c r="AB125" s="924">
        <f t="shared" si="48"/>
        <v>0</v>
      </c>
      <c r="AC125" s="924">
        <f t="shared" si="48"/>
        <v>0</v>
      </c>
      <c r="AD125" s="924">
        <f t="shared" si="48"/>
        <v>0</v>
      </c>
      <c r="AE125" s="1231">
        <f t="shared" si="48"/>
        <v>0</v>
      </c>
      <c r="AF125" s="1231">
        <f t="shared" si="48"/>
        <v>0</v>
      </c>
      <c r="AH125" s="65"/>
    </row>
    <row r="126" spans="2:34" x14ac:dyDescent="0.3">
      <c r="B126" s="61"/>
      <c r="C126" s="114"/>
      <c r="D126" s="267"/>
      <c r="E126" s="267"/>
      <c r="F126" s="355"/>
      <c r="G126" s="105"/>
      <c r="H126" s="203"/>
      <c r="I126" s="105"/>
      <c r="J126" s="105"/>
      <c r="K126" s="112"/>
      <c r="L126" s="116">
        <f t="shared" si="45"/>
        <v>0</v>
      </c>
      <c r="M126" s="924">
        <f t="shared" si="39"/>
        <v>0</v>
      </c>
      <c r="N126" s="924">
        <f t="shared" si="40"/>
        <v>0</v>
      </c>
      <c r="O126" s="1008" t="str">
        <f t="shared" si="41"/>
        <v>-</v>
      </c>
      <c r="P126" s="924">
        <f t="shared" si="34"/>
        <v>0</v>
      </c>
      <c r="Q126" s="112"/>
      <c r="R126" s="924">
        <f t="shared" si="42"/>
        <v>0</v>
      </c>
      <c r="S126" s="924">
        <f t="shared" si="43"/>
        <v>0</v>
      </c>
      <c r="T126" s="924">
        <f t="shared" si="44"/>
        <v>0</v>
      </c>
      <c r="U126" s="924">
        <f t="shared" si="47"/>
        <v>0</v>
      </c>
      <c r="V126" s="924">
        <f t="shared" si="47"/>
        <v>0</v>
      </c>
      <c r="W126" s="924">
        <f t="shared" si="47"/>
        <v>0</v>
      </c>
      <c r="X126" s="924">
        <f t="shared" si="47"/>
        <v>0</v>
      </c>
      <c r="Y126" s="112"/>
      <c r="Z126" s="924">
        <f t="shared" si="48"/>
        <v>0</v>
      </c>
      <c r="AA126" s="924">
        <f t="shared" si="48"/>
        <v>0</v>
      </c>
      <c r="AB126" s="924">
        <f t="shared" si="48"/>
        <v>0</v>
      </c>
      <c r="AC126" s="924">
        <f t="shared" si="48"/>
        <v>0</v>
      </c>
      <c r="AD126" s="924">
        <f t="shared" si="48"/>
        <v>0</v>
      </c>
      <c r="AE126" s="1231">
        <f t="shared" si="48"/>
        <v>0</v>
      </c>
      <c r="AF126" s="1231">
        <f t="shared" si="48"/>
        <v>0</v>
      </c>
      <c r="AH126" s="65"/>
    </row>
    <row r="127" spans="2:34" x14ac:dyDescent="0.3">
      <c r="B127" s="61"/>
      <c r="C127" s="114"/>
      <c r="D127" s="267"/>
      <c r="E127" s="267"/>
      <c r="F127" s="355"/>
      <c r="G127" s="105"/>
      <c r="H127" s="203"/>
      <c r="I127" s="105"/>
      <c r="J127" s="105"/>
      <c r="K127" s="112"/>
      <c r="L127" s="116">
        <f t="shared" si="45"/>
        <v>0</v>
      </c>
      <c r="M127" s="924">
        <f t="shared" si="39"/>
        <v>0</v>
      </c>
      <c r="N127" s="924">
        <f t="shared" si="40"/>
        <v>0</v>
      </c>
      <c r="O127" s="1008" t="str">
        <f t="shared" si="41"/>
        <v>-</v>
      </c>
      <c r="P127" s="924">
        <f t="shared" si="34"/>
        <v>0</v>
      </c>
      <c r="Q127" s="112"/>
      <c r="R127" s="924">
        <f t="shared" si="42"/>
        <v>0</v>
      </c>
      <c r="S127" s="924">
        <f t="shared" si="43"/>
        <v>0</v>
      </c>
      <c r="T127" s="924">
        <f t="shared" si="44"/>
        <v>0</v>
      </c>
      <c r="U127" s="924">
        <f t="shared" si="47"/>
        <v>0</v>
      </c>
      <c r="V127" s="924">
        <f t="shared" si="47"/>
        <v>0</v>
      </c>
      <c r="W127" s="924">
        <f t="shared" si="47"/>
        <v>0</v>
      </c>
      <c r="X127" s="924">
        <f t="shared" si="47"/>
        <v>0</v>
      </c>
      <c r="Y127" s="112"/>
      <c r="Z127" s="924">
        <f t="shared" si="48"/>
        <v>0</v>
      </c>
      <c r="AA127" s="924">
        <f t="shared" si="48"/>
        <v>0</v>
      </c>
      <c r="AB127" s="924">
        <f t="shared" si="48"/>
        <v>0</v>
      </c>
      <c r="AC127" s="924">
        <f t="shared" si="48"/>
        <v>0</v>
      </c>
      <c r="AD127" s="924">
        <f t="shared" si="48"/>
        <v>0</v>
      </c>
      <c r="AE127" s="1231">
        <f t="shared" si="48"/>
        <v>0</v>
      </c>
      <c r="AF127" s="1231">
        <f t="shared" si="48"/>
        <v>0</v>
      </c>
      <c r="AH127" s="65"/>
    </row>
    <row r="128" spans="2:34" x14ac:dyDescent="0.3">
      <c r="B128" s="61"/>
      <c r="C128" s="114"/>
      <c r="D128" s="267"/>
      <c r="E128" s="267"/>
      <c r="F128" s="355"/>
      <c r="G128" s="105"/>
      <c r="H128" s="203"/>
      <c r="I128" s="105"/>
      <c r="J128" s="105"/>
      <c r="K128" s="112"/>
      <c r="L128" s="116">
        <f t="shared" si="45"/>
        <v>0</v>
      </c>
      <c r="M128" s="924">
        <f t="shared" si="39"/>
        <v>0</v>
      </c>
      <c r="N128" s="924">
        <f t="shared" si="40"/>
        <v>0</v>
      </c>
      <c r="O128" s="1008" t="str">
        <f t="shared" si="41"/>
        <v>-</v>
      </c>
      <c r="P128" s="924">
        <f t="shared" si="34"/>
        <v>0</v>
      </c>
      <c r="Q128" s="112"/>
      <c r="R128" s="924">
        <f t="shared" si="42"/>
        <v>0</v>
      </c>
      <c r="S128" s="924">
        <f t="shared" si="43"/>
        <v>0</v>
      </c>
      <c r="T128" s="924">
        <f t="shared" si="44"/>
        <v>0</v>
      </c>
      <c r="U128" s="924">
        <f t="shared" si="47"/>
        <v>0</v>
      </c>
      <c r="V128" s="924">
        <f t="shared" si="47"/>
        <v>0</v>
      </c>
      <c r="W128" s="924">
        <f t="shared" si="47"/>
        <v>0</v>
      </c>
      <c r="X128" s="924">
        <f t="shared" si="47"/>
        <v>0</v>
      </c>
      <c r="Y128" s="112"/>
      <c r="Z128" s="924">
        <f t="shared" ref="Z128:AF137" si="49">IF(Z$7=$I128,($G128*$H128),0)</f>
        <v>0</v>
      </c>
      <c r="AA128" s="924">
        <f t="shared" si="49"/>
        <v>0</v>
      </c>
      <c r="AB128" s="924">
        <f t="shared" si="49"/>
        <v>0</v>
      </c>
      <c r="AC128" s="924">
        <f t="shared" si="49"/>
        <v>0</v>
      </c>
      <c r="AD128" s="924">
        <f t="shared" si="49"/>
        <v>0</v>
      </c>
      <c r="AE128" s="1231">
        <f t="shared" si="49"/>
        <v>0</v>
      </c>
      <c r="AF128" s="1231">
        <f t="shared" si="49"/>
        <v>0</v>
      </c>
      <c r="AH128" s="65"/>
    </row>
    <row r="129" spans="2:34" x14ac:dyDescent="0.3">
      <c r="B129" s="61"/>
      <c r="C129" s="114"/>
      <c r="D129" s="267"/>
      <c r="E129" s="267"/>
      <c r="F129" s="355"/>
      <c r="G129" s="105"/>
      <c r="H129" s="203"/>
      <c r="I129" s="105"/>
      <c r="J129" s="105"/>
      <c r="K129" s="112"/>
      <c r="L129" s="116">
        <f t="shared" si="45"/>
        <v>0</v>
      </c>
      <c r="M129" s="924">
        <f t="shared" si="39"/>
        <v>0</v>
      </c>
      <c r="N129" s="924">
        <f t="shared" si="40"/>
        <v>0</v>
      </c>
      <c r="O129" s="1008" t="str">
        <f t="shared" si="41"/>
        <v>-</v>
      </c>
      <c r="P129" s="924">
        <f t="shared" si="34"/>
        <v>0</v>
      </c>
      <c r="Q129" s="112"/>
      <c r="R129" s="924">
        <f t="shared" si="42"/>
        <v>0</v>
      </c>
      <c r="S129" s="924">
        <f t="shared" si="43"/>
        <v>0</v>
      </c>
      <c r="T129" s="924">
        <f t="shared" si="44"/>
        <v>0</v>
      </c>
      <c r="U129" s="924">
        <f t="shared" si="47"/>
        <v>0</v>
      </c>
      <c r="V129" s="924">
        <f t="shared" si="47"/>
        <v>0</v>
      </c>
      <c r="W129" s="924">
        <f t="shared" si="47"/>
        <v>0</v>
      </c>
      <c r="X129" s="924">
        <f t="shared" si="47"/>
        <v>0</v>
      </c>
      <c r="Y129" s="112"/>
      <c r="Z129" s="924">
        <f t="shared" si="49"/>
        <v>0</v>
      </c>
      <c r="AA129" s="924">
        <f t="shared" si="49"/>
        <v>0</v>
      </c>
      <c r="AB129" s="924">
        <f t="shared" si="49"/>
        <v>0</v>
      </c>
      <c r="AC129" s="924">
        <f t="shared" si="49"/>
        <v>0</v>
      </c>
      <c r="AD129" s="924">
        <f t="shared" si="49"/>
        <v>0</v>
      </c>
      <c r="AE129" s="1231">
        <f t="shared" si="49"/>
        <v>0</v>
      </c>
      <c r="AF129" s="1231">
        <f t="shared" si="49"/>
        <v>0</v>
      </c>
      <c r="AH129" s="65"/>
    </row>
    <row r="130" spans="2:34" x14ac:dyDescent="0.3">
      <c r="B130" s="61"/>
      <c r="C130" s="114"/>
      <c r="D130" s="267"/>
      <c r="E130" s="267"/>
      <c r="F130" s="355"/>
      <c r="G130" s="105"/>
      <c r="H130" s="203"/>
      <c r="I130" s="105"/>
      <c r="J130" s="105"/>
      <c r="K130" s="112"/>
      <c r="L130" s="116">
        <f t="shared" si="45"/>
        <v>0</v>
      </c>
      <c r="M130" s="924">
        <f t="shared" si="39"/>
        <v>0</v>
      </c>
      <c r="N130" s="924">
        <f t="shared" si="40"/>
        <v>0</v>
      </c>
      <c r="O130" s="1008" t="str">
        <f t="shared" si="41"/>
        <v>-</v>
      </c>
      <c r="P130" s="924">
        <f t="shared" si="34"/>
        <v>0</v>
      </c>
      <c r="Q130" s="112"/>
      <c r="R130" s="924">
        <f t="shared" si="42"/>
        <v>0</v>
      </c>
      <c r="S130" s="924">
        <f t="shared" si="43"/>
        <v>0</v>
      </c>
      <c r="T130" s="924">
        <f t="shared" si="44"/>
        <v>0</v>
      </c>
      <c r="U130" s="924">
        <f t="shared" si="47"/>
        <v>0</v>
      </c>
      <c r="V130" s="924">
        <f t="shared" si="47"/>
        <v>0</v>
      </c>
      <c r="W130" s="924">
        <f t="shared" si="47"/>
        <v>0</v>
      </c>
      <c r="X130" s="924">
        <f t="shared" si="47"/>
        <v>0</v>
      </c>
      <c r="Y130" s="112"/>
      <c r="Z130" s="924">
        <f t="shared" si="49"/>
        <v>0</v>
      </c>
      <c r="AA130" s="924">
        <f t="shared" si="49"/>
        <v>0</v>
      </c>
      <c r="AB130" s="924">
        <f t="shared" si="49"/>
        <v>0</v>
      </c>
      <c r="AC130" s="924">
        <f t="shared" si="49"/>
        <v>0</v>
      </c>
      <c r="AD130" s="924">
        <f t="shared" si="49"/>
        <v>0</v>
      </c>
      <c r="AE130" s="1231">
        <f t="shared" si="49"/>
        <v>0</v>
      </c>
      <c r="AF130" s="1231">
        <f t="shared" si="49"/>
        <v>0</v>
      </c>
      <c r="AH130" s="65"/>
    </row>
    <row r="131" spans="2:34" x14ac:dyDescent="0.3">
      <c r="B131" s="61"/>
      <c r="C131" s="114"/>
      <c r="D131" s="267"/>
      <c r="E131" s="267"/>
      <c r="F131" s="355"/>
      <c r="G131" s="105"/>
      <c r="H131" s="203"/>
      <c r="I131" s="105"/>
      <c r="J131" s="105"/>
      <c r="K131" s="112"/>
      <c r="L131" s="116">
        <f t="shared" si="45"/>
        <v>0</v>
      </c>
      <c r="M131" s="924">
        <f t="shared" si="39"/>
        <v>0</v>
      </c>
      <c r="N131" s="924">
        <f t="shared" si="40"/>
        <v>0</v>
      </c>
      <c r="O131" s="1008" t="str">
        <f t="shared" si="41"/>
        <v>-</v>
      </c>
      <c r="P131" s="924">
        <f t="shared" si="34"/>
        <v>0</v>
      </c>
      <c r="Q131" s="112"/>
      <c r="R131" s="924">
        <f t="shared" si="42"/>
        <v>0</v>
      </c>
      <c r="S131" s="924">
        <f t="shared" si="43"/>
        <v>0</v>
      </c>
      <c r="T131" s="924">
        <f t="shared" si="44"/>
        <v>0</v>
      </c>
      <c r="U131" s="924">
        <f t="shared" si="47"/>
        <v>0</v>
      </c>
      <c r="V131" s="924">
        <f t="shared" si="47"/>
        <v>0</v>
      </c>
      <c r="W131" s="924">
        <f t="shared" si="47"/>
        <v>0</v>
      </c>
      <c r="X131" s="924">
        <f t="shared" si="47"/>
        <v>0</v>
      </c>
      <c r="Y131" s="112"/>
      <c r="Z131" s="924">
        <f t="shared" si="49"/>
        <v>0</v>
      </c>
      <c r="AA131" s="924">
        <f t="shared" si="49"/>
        <v>0</v>
      </c>
      <c r="AB131" s="924">
        <f t="shared" si="49"/>
        <v>0</v>
      </c>
      <c r="AC131" s="924">
        <f t="shared" si="49"/>
        <v>0</v>
      </c>
      <c r="AD131" s="924">
        <f t="shared" si="49"/>
        <v>0</v>
      </c>
      <c r="AE131" s="1231">
        <f t="shared" si="49"/>
        <v>0</v>
      </c>
      <c r="AF131" s="1231">
        <f t="shared" si="49"/>
        <v>0</v>
      </c>
      <c r="AH131" s="65"/>
    </row>
    <row r="132" spans="2:34" x14ac:dyDescent="0.3">
      <c r="B132" s="61"/>
      <c r="C132" s="114"/>
      <c r="D132" s="267"/>
      <c r="E132" s="267"/>
      <c r="F132" s="355"/>
      <c r="G132" s="105"/>
      <c r="H132" s="203"/>
      <c r="I132" s="105"/>
      <c r="J132" s="105"/>
      <c r="K132" s="112"/>
      <c r="L132" s="116">
        <f t="shared" si="45"/>
        <v>0</v>
      </c>
      <c r="M132" s="924">
        <f t="shared" si="39"/>
        <v>0</v>
      </c>
      <c r="N132" s="924">
        <f t="shared" si="40"/>
        <v>0</v>
      </c>
      <c r="O132" s="1008" t="str">
        <f t="shared" si="41"/>
        <v>-</v>
      </c>
      <c r="P132" s="924">
        <f t="shared" si="34"/>
        <v>0</v>
      </c>
      <c r="Q132" s="112"/>
      <c r="R132" s="924">
        <f t="shared" si="42"/>
        <v>0</v>
      </c>
      <c r="S132" s="924">
        <f t="shared" si="43"/>
        <v>0</v>
      </c>
      <c r="T132" s="924">
        <f t="shared" si="44"/>
        <v>0</v>
      </c>
      <c r="U132" s="924">
        <f t="shared" si="47"/>
        <v>0</v>
      </c>
      <c r="V132" s="924">
        <f t="shared" si="47"/>
        <v>0</v>
      </c>
      <c r="W132" s="924">
        <f t="shared" si="47"/>
        <v>0</v>
      </c>
      <c r="X132" s="924">
        <f t="shared" si="47"/>
        <v>0</v>
      </c>
      <c r="Y132" s="112"/>
      <c r="Z132" s="924">
        <f t="shared" si="49"/>
        <v>0</v>
      </c>
      <c r="AA132" s="924">
        <f t="shared" si="49"/>
        <v>0</v>
      </c>
      <c r="AB132" s="924">
        <f t="shared" si="49"/>
        <v>0</v>
      </c>
      <c r="AC132" s="924">
        <f t="shared" si="49"/>
        <v>0</v>
      </c>
      <c r="AD132" s="924">
        <f t="shared" si="49"/>
        <v>0</v>
      </c>
      <c r="AE132" s="1231">
        <f t="shared" si="49"/>
        <v>0</v>
      </c>
      <c r="AF132" s="1231">
        <f t="shared" si="49"/>
        <v>0</v>
      </c>
      <c r="AH132" s="65"/>
    </row>
    <row r="133" spans="2:34" x14ac:dyDescent="0.3">
      <c r="B133" s="61"/>
      <c r="C133" s="114"/>
      <c r="D133" s="267"/>
      <c r="E133" s="267"/>
      <c r="F133" s="355"/>
      <c r="G133" s="105"/>
      <c r="H133" s="203"/>
      <c r="I133" s="105"/>
      <c r="J133" s="105"/>
      <c r="K133" s="112"/>
      <c r="L133" s="116">
        <f t="shared" si="45"/>
        <v>0</v>
      </c>
      <c r="M133" s="924">
        <f t="shared" si="39"/>
        <v>0</v>
      </c>
      <c r="N133" s="924">
        <f t="shared" si="40"/>
        <v>0</v>
      </c>
      <c r="O133" s="1008" t="str">
        <f t="shared" si="41"/>
        <v>-</v>
      </c>
      <c r="P133" s="924">
        <f t="shared" si="34"/>
        <v>0</v>
      </c>
      <c r="Q133" s="112"/>
      <c r="R133" s="924">
        <f t="shared" si="42"/>
        <v>0</v>
      </c>
      <c r="S133" s="924">
        <f t="shared" si="43"/>
        <v>0</v>
      </c>
      <c r="T133" s="924">
        <f t="shared" si="44"/>
        <v>0</v>
      </c>
      <c r="U133" s="924">
        <f t="shared" ref="U133:X145" si="50">(IF(U$7&lt;$I133,0,IF($O133&lt;=U$7-1,0,$N133)))</f>
        <v>0</v>
      </c>
      <c r="V133" s="924">
        <f t="shared" si="50"/>
        <v>0</v>
      </c>
      <c r="W133" s="924">
        <f t="shared" si="50"/>
        <v>0</v>
      </c>
      <c r="X133" s="924">
        <f t="shared" si="50"/>
        <v>0</v>
      </c>
      <c r="Y133" s="112"/>
      <c r="Z133" s="924">
        <f t="shared" si="49"/>
        <v>0</v>
      </c>
      <c r="AA133" s="924">
        <f t="shared" si="49"/>
        <v>0</v>
      </c>
      <c r="AB133" s="924">
        <f t="shared" si="49"/>
        <v>0</v>
      </c>
      <c r="AC133" s="924">
        <f t="shared" si="49"/>
        <v>0</v>
      </c>
      <c r="AD133" s="924">
        <f t="shared" si="49"/>
        <v>0</v>
      </c>
      <c r="AE133" s="1231">
        <f t="shared" si="49"/>
        <v>0</v>
      </c>
      <c r="AF133" s="1231">
        <f t="shared" si="49"/>
        <v>0</v>
      </c>
      <c r="AH133" s="65"/>
    </row>
    <row r="134" spans="2:34" x14ac:dyDescent="0.3">
      <c r="B134" s="61"/>
      <c r="C134" s="114"/>
      <c r="D134" s="267"/>
      <c r="E134" s="267"/>
      <c r="F134" s="355"/>
      <c r="G134" s="105"/>
      <c r="H134" s="203"/>
      <c r="I134" s="105"/>
      <c r="J134" s="105"/>
      <c r="K134" s="112"/>
      <c r="L134" s="116">
        <f t="shared" si="45"/>
        <v>0</v>
      </c>
      <c r="M134" s="924">
        <f t="shared" si="39"/>
        <v>0</v>
      </c>
      <c r="N134" s="924">
        <f t="shared" si="40"/>
        <v>0</v>
      </c>
      <c r="O134" s="1008" t="str">
        <f t="shared" si="41"/>
        <v>-</v>
      </c>
      <c r="P134" s="924">
        <f t="shared" si="34"/>
        <v>0</v>
      </c>
      <c r="Q134" s="112"/>
      <c r="R134" s="924">
        <f t="shared" si="42"/>
        <v>0</v>
      </c>
      <c r="S134" s="924">
        <f t="shared" si="43"/>
        <v>0</v>
      </c>
      <c r="T134" s="924">
        <f t="shared" si="44"/>
        <v>0</v>
      </c>
      <c r="U134" s="924">
        <f t="shared" si="50"/>
        <v>0</v>
      </c>
      <c r="V134" s="924">
        <f t="shared" si="50"/>
        <v>0</v>
      </c>
      <c r="W134" s="924">
        <f t="shared" si="50"/>
        <v>0</v>
      </c>
      <c r="X134" s="924">
        <f t="shared" si="50"/>
        <v>0</v>
      </c>
      <c r="Y134" s="112"/>
      <c r="Z134" s="924">
        <f t="shared" si="49"/>
        <v>0</v>
      </c>
      <c r="AA134" s="924">
        <f t="shared" si="49"/>
        <v>0</v>
      </c>
      <c r="AB134" s="924">
        <f t="shared" si="49"/>
        <v>0</v>
      </c>
      <c r="AC134" s="924">
        <f t="shared" si="49"/>
        <v>0</v>
      </c>
      <c r="AD134" s="924">
        <f t="shared" si="49"/>
        <v>0</v>
      </c>
      <c r="AE134" s="1231">
        <f t="shared" si="49"/>
        <v>0</v>
      </c>
      <c r="AF134" s="1231">
        <f t="shared" si="49"/>
        <v>0</v>
      </c>
      <c r="AH134" s="65"/>
    </row>
    <row r="135" spans="2:34" x14ac:dyDescent="0.3">
      <c r="B135" s="61"/>
      <c r="C135" s="114"/>
      <c r="D135" s="267"/>
      <c r="E135" s="267"/>
      <c r="F135" s="355"/>
      <c r="G135" s="105"/>
      <c r="H135" s="203"/>
      <c r="I135" s="105"/>
      <c r="J135" s="105"/>
      <c r="K135" s="112"/>
      <c r="L135" s="116">
        <f t="shared" si="45"/>
        <v>0</v>
      </c>
      <c r="M135" s="924">
        <f t="shared" si="39"/>
        <v>0</v>
      </c>
      <c r="N135" s="924">
        <f t="shared" si="40"/>
        <v>0</v>
      </c>
      <c r="O135" s="1008" t="str">
        <f t="shared" si="41"/>
        <v>-</v>
      </c>
      <c r="P135" s="924">
        <f t="shared" si="34"/>
        <v>0</v>
      </c>
      <c r="Q135" s="112"/>
      <c r="R135" s="924">
        <f t="shared" si="42"/>
        <v>0</v>
      </c>
      <c r="S135" s="924">
        <f t="shared" si="43"/>
        <v>0</v>
      </c>
      <c r="T135" s="924">
        <f t="shared" si="44"/>
        <v>0</v>
      </c>
      <c r="U135" s="924">
        <f t="shared" si="50"/>
        <v>0</v>
      </c>
      <c r="V135" s="924">
        <f t="shared" si="50"/>
        <v>0</v>
      </c>
      <c r="W135" s="924">
        <f t="shared" si="50"/>
        <v>0</v>
      </c>
      <c r="X135" s="924">
        <f t="shared" si="50"/>
        <v>0</v>
      </c>
      <c r="Y135" s="112"/>
      <c r="Z135" s="924">
        <f t="shared" si="49"/>
        <v>0</v>
      </c>
      <c r="AA135" s="924">
        <f t="shared" si="49"/>
        <v>0</v>
      </c>
      <c r="AB135" s="924">
        <f t="shared" si="49"/>
        <v>0</v>
      </c>
      <c r="AC135" s="924">
        <f t="shared" si="49"/>
        <v>0</v>
      </c>
      <c r="AD135" s="924">
        <f t="shared" si="49"/>
        <v>0</v>
      </c>
      <c r="AE135" s="1231">
        <f t="shared" si="49"/>
        <v>0</v>
      </c>
      <c r="AF135" s="1231">
        <f t="shared" si="49"/>
        <v>0</v>
      </c>
      <c r="AH135" s="65"/>
    </row>
    <row r="136" spans="2:34" x14ac:dyDescent="0.3">
      <c r="B136" s="61"/>
      <c r="C136" s="114"/>
      <c r="D136" s="267"/>
      <c r="E136" s="267"/>
      <c r="F136" s="355"/>
      <c r="G136" s="105"/>
      <c r="H136" s="203"/>
      <c r="I136" s="105"/>
      <c r="J136" s="105"/>
      <c r="K136" s="112"/>
      <c r="L136" s="116">
        <f t="shared" si="45"/>
        <v>0</v>
      </c>
      <c r="M136" s="924">
        <f t="shared" si="39"/>
        <v>0</v>
      </c>
      <c r="N136" s="924">
        <f t="shared" si="40"/>
        <v>0</v>
      </c>
      <c r="O136" s="1008" t="str">
        <f t="shared" si="41"/>
        <v>-</v>
      </c>
      <c r="P136" s="924">
        <f t="shared" si="34"/>
        <v>0</v>
      </c>
      <c r="Q136" s="112"/>
      <c r="R136" s="924">
        <f t="shared" si="42"/>
        <v>0</v>
      </c>
      <c r="S136" s="924">
        <f t="shared" si="43"/>
        <v>0</v>
      </c>
      <c r="T136" s="924">
        <f t="shared" si="44"/>
        <v>0</v>
      </c>
      <c r="U136" s="924">
        <f t="shared" si="50"/>
        <v>0</v>
      </c>
      <c r="V136" s="924">
        <f t="shared" si="50"/>
        <v>0</v>
      </c>
      <c r="W136" s="924">
        <f t="shared" si="50"/>
        <v>0</v>
      </c>
      <c r="X136" s="924">
        <f t="shared" si="50"/>
        <v>0</v>
      </c>
      <c r="Y136" s="112"/>
      <c r="Z136" s="924">
        <f t="shared" si="49"/>
        <v>0</v>
      </c>
      <c r="AA136" s="924">
        <f t="shared" si="49"/>
        <v>0</v>
      </c>
      <c r="AB136" s="924">
        <f t="shared" si="49"/>
        <v>0</v>
      </c>
      <c r="AC136" s="924">
        <f t="shared" si="49"/>
        <v>0</v>
      </c>
      <c r="AD136" s="924">
        <f t="shared" si="49"/>
        <v>0</v>
      </c>
      <c r="AE136" s="1231">
        <f t="shared" si="49"/>
        <v>0</v>
      </c>
      <c r="AF136" s="1231">
        <f t="shared" si="49"/>
        <v>0</v>
      </c>
      <c r="AH136" s="65"/>
    </row>
    <row r="137" spans="2:34" x14ac:dyDescent="0.3">
      <c r="B137" s="61"/>
      <c r="C137" s="114"/>
      <c r="D137" s="267"/>
      <c r="E137" s="267"/>
      <c r="F137" s="355"/>
      <c r="G137" s="105"/>
      <c r="H137" s="203"/>
      <c r="I137" s="105"/>
      <c r="J137" s="105"/>
      <c r="K137" s="112"/>
      <c r="L137" s="116">
        <f t="shared" si="45"/>
        <v>0</v>
      </c>
      <c r="M137" s="924">
        <f t="shared" si="39"/>
        <v>0</v>
      </c>
      <c r="N137" s="924">
        <f t="shared" si="40"/>
        <v>0</v>
      </c>
      <c r="O137" s="1008" t="str">
        <f t="shared" si="41"/>
        <v>-</v>
      </c>
      <c r="P137" s="924">
        <f t="shared" si="34"/>
        <v>0</v>
      </c>
      <c r="Q137" s="112"/>
      <c r="R137" s="924">
        <f t="shared" si="42"/>
        <v>0</v>
      </c>
      <c r="S137" s="924">
        <f t="shared" si="43"/>
        <v>0</v>
      </c>
      <c r="T137" s="924">
        <f t="shared" si="44"/>
        <v>0</v>
      </c>
      <c r="U137" s="924">
        <f t="shared" si="50"/>
        <v>0</v>
      </c>
      <c r="V137" s="924">
        <f t="shared" si="50"/>
        <v>0</v>
      </c>
      <c r="W137" s="924">
        <f t="shared" si="50"/>
        <v>0</v>
      </c>
      <c r="X137" s="924">
        <f t="shared" si="50"/>
        <v>0</v>
      </c>
      <c r="Y137" s="112"/>
      <c r="Z137" s="924">
        <f t="shared" si="49"/>
        <v>0</v>
      </c>
      <c r="AA137" s="924">
        <f t="shared" si="49"/>
        <v>0</v>
      </c>
      <c r="AB137" s="924">
        <f t="shared" si="49"/>
        <v>0</v>
      </c>
      <c r="AC137" s="924">
        <f t="shared" si="49"/>
        <v>0</v>
      </c>
      <c r="AD137" s="924">
        <f t="shared" si="49"/>
        <v>0</v>
      </c>
      <c r="AE137" s="1231">
        <f t="shared" si="49"/>
        <v>0</v>
      </c>
      <c r="AF137" s="1231">
        <f t="shared" si="49"/>
        <v>0</v>
      </c>
      <c r="AH137" s="65"/>
    </row>
    <row r="138" spans="2:34" x14ac:dyDescent="0.3">
      <c r="B138" s="61"/>
      <c r="C138" s="114"/>
      <c r="D138" s="267"/>
      <c r="E138" s="267"/>
      <c r="F138" s="355"/>
      <c r="G138" s="105"/>
      <c r="H138" s="203"/>
      <c r="I138" s="105"/>
      <c r="J138" s="105"/>
      <c r="K138" s="112"/>
      <c r="L138" s="116">
        <f t="shared" si="45"/>
        <v>0</v>
      </c>
      <c r="M138" s="924">
        <f t="shared" si="39"/>
        <v>0</v>
      </c>
      <c r="N138" s="924">
        <f t="shared" si="40"/>
        <v>0</v>
      </c>
      <c r="O138" s="1008" t="str">
        <f t="shared" si="41"/>
        <v>-</v>
      </c>
      <c r="P138" s="924">
        <f t="shared" si="34"/>
        <v>0</v>
      </c>
      <c r="Q138" s="112"/>
      <c r="R138" s="924">
        <f t="shared" si="42"/>
        <v>0</v>
      </c>
      <c r="S138" s="924">
        <f t="shared" si="43"/>
        <v>0</v>
      </c>
      <c r="T138" s="924">
        <f t="shared" si="44"/>
        <v>0</v>
      </c>
      <c r="U138" s="924">
        <f t="shared" si="50"/>
        <v>0</v>
      </c>
      <c r="V138" s="924">
        <f t="shared" si="50"/>
        <v>0</v>
      </c>
      <c r="W138" s="924">
        <f t="shared" si="50"/>
        <v>0</v>
      </c>
      <c r="X138" s="924">
        <f t="shared" si="50"/>
        <v>0</v>
      </c>
      <c r="Y138" s="112"/>
      <c r="Z138" s="924">
        <f t="shared" ref="Z138:AF145" si="51">IF(Z$7=$I138,($G138*$H138),0)</f>
        <v>0</v>
      </c>
      <c r="AA138" s="924">
        <f t="shared" si="51"/>
        <v>0</v>
      </c>
      <c r="AB138" s="924">
        <f t="shared" si="51"/>
        <v>0</v>
      </c>
      <c r="AC138" s="924">
        <f t="shared" si="51"/>
        <v>0</v>
      </c>
      <c r="AD138" s="924">
        <f t="shared" si="51"/>
        <v>0</v>
      </c>
      <c r="AE138" s="1231">
        <f t="shared" si="51"/>
        <v>0</v>
      </c>
      <c r="AF138" s="1231">
        <f t="shared" si="51"/>
        <v>0</v>
      </c>
      <c r="AH138" s="65"/>
    </row>
    <row r="139" spans="2:34" x14ac:dyDescent="0.3">
      <c r="B139" s="61"/>
      <c r="C139" s="114"/>
      <c r="D139" s="267"/>
      <c r="E139" s="267"/>
      <c r="F139" s="355"/>
      <c r="G139" s="105"/>
      <c r="H139" s="203"/>
      <c r="I139" s="105"/>
      <c r="J139" s="105"/>
      <c r="K139" s="112"/>
      <c r="L139" s="116">
        <f t="shared" si="45"/>
        <v>0</v>
      </c>
      <c r="M139" s="924">
        <f t="shared" ref="M139:M145" si="52">G139*H139</f>
        <v>0</v>
      </c>
      <c r="N139" s="924">
        <f t="shared" ref="N139:N145" si="53">IF(G139=0,0,(G139*H139)/L139)</f>
        <v>0</v>
      </c>
      <c r="O139" s="1008" t="str">
        <f t="shared" ref="O139:O145" si="54">IF(L139=0,"-",(IF(L139&gt;3000,"-",I139+L139-1)))</f>
        <v>-</v>
      </c>
      <c r="P139" s="924">
        <f t="shared" si="34"/>
        <v>0</v>
      </c>
      <c r="Q139" s="112"/>
      <c r="R139" s="924">
        <f t="shared" ref="R139:R146" si="55">(IF(R$7&lt;$I139,0,IF($O139&lt;=R$7-1,0,$N139)))</f>
        <v>0</v>
      </c>
      <c r="S139" s="924">
        <f t="shared" ref="S139:S146" si="56">(IF(S$7&lt;$I139,0,IF($O139&lt;=S$7-1,0,$N139)))</f>
        <v>0</v>
      </c>
      <c r="T139" s="924">
        <f t="shared" ref="T139:T146" si="57">(IF(T$7&lt;$I139,0,IF($O139&lt;=T$7-1,0,$N139)))</f>
        <v>0</v>
      </c>
      <c r="U139" s="924">
        <f t="shared" si="50"/>
        <v>0</v>
      </c>
      <c r="V139" s="924">
        <f t="shared" si="50"/>
        <v>0</v>
      </c>
      <c r="W139" s="924">
        <f t="shared" si="50"/>
        <v>0</v>
      </c>
      <c r="X139" s="924">
        <f t="shared" si="50"/>
        <v>0</v>
      </c>
      <c r="Y139" s="112"/>
      <c r="Z139" s="924">
        <f t="shared" si="51"/>
        <v>0</v>
      </c>
      <c r="AA139" s="924">
        <f t="shared" si="51"/>
        <v>0</v>
      </c>
      <c r="AB139" s="924">
        <f t="shared" si="51"/>
        <v>0</v>
      </c>
      <c r="AC139" s="924">
        <f t="shared" si="51"/>
        <v>0</v>
      </c>
      <c r="AD139" s="924">
        <f t="shared" si="51"/>
        <v>0</v>
      </c>
      <c r="AE139" s="1231">
        <f t="shared" si="51"/>
        <v>0</v>
      </c>
      <c r="AF139" s="1231">
        <f t="shared" si="51"/>
        <v>0</v>
      </c>
      <c r="AH139" s="65"/>
    </row>
    <row r="140" spans="2:34" x14ac:dyDescent="0.3">
      <c r="B140" s="61"/>
      <c r="C140" s="114"/>
      <c r="D140" s="267"/>
      <c r="E140" s="267"/>
      <c r="F140" s="355"/>
      <c r="G140" s="105"/>
      <c r="H140" s="203"/>
      <c r="I140" s="105"/>
      <c r="J140" s="105"/>
      <c r="K140" s="112"/>
      <c r="L140" s="116">
        <f t="shared" si="45"/>
        <v>0</v>
      </c>
      <c r="M140" s="924">
        <f t="shared" si="52"/>
        <v>0</v>
      </c>
      <c r="N140" s="924">
        <f t="shared" si="53"/>
        <v>0</v>
      </c>
      <c r="O140" s="1008" t="str">
        <f t="shared" si="54"/>
        <v>-</v>
      </c>
      <c r="P140" s="924">
        <f t="shared" si="34"/>
        <v>0</v>
      </c>
      <c r="Q140" s="112"/>
      <c r="R140" s="924">
        <f t="shared" si="55"/>
        <v>0</v>
      </c>
      <c r="S140" s="924">
        <f t="shared" si="56"/>
        <v>0</v>
      </c>
      <c r="T140" s="924">
        <f t="shared" si="57"/>
        <v>0</v>
      </c>
      <c r="U140" s="924">
        <f t="shared" si="50"/>
        <v>0</v>
      </c>
      <c r="V140" s="924">
        <f t="shared" si="50"/>
        <v>0</v>
      </c>
      <c r="W140" s="924">
        <f t="shared" si="50"/>
        <v>0</v>
      </c>
      <c r="X140" s="924">
        <f t="shared" si="50"/>
        <v>0</v>
      </c>
      <c r="Y140" s="112"/>
      <c r="Z140" s="924">
        <f t="shared" si="51"/>
        <v>0</v>
      </c>
      <c r="AA140" s="924">
        <f t="shared" si="51"/>
        <v>0</v>
      </c>
      <c r="AB140" s="924">
        <f t="shared" si="51"/>
        <v>0</v>
      </c>
      <c r="AC140" s="924">
        <f t="shared" si="51"/>
        <v>0</v>
      </c>
      <c r="AD140" s="924">
        <f t="shared" si="51"/>
        <v>0</v>
      </c>
      <c r="AE140" s="1231">
        <f t="shared" si="51"/>
        <v>0</v>
      </c>
      <c r="AF140" s="1231">
        <f t="shared" si="51"/>
        <v>0</v>
      </c>
      <c r="AH140" s="65"/>
    </row>
    <row r="141" spans="2:34" x14ac:dyDescent="0.3">
      <c r="B141" s="61"/>
      <c r="C141" s="114"/>
      <c r="D141" s="267"/>
      <c r="E141" s="267"/>
      <c r="F141" s="355"/>
      <c r="G141" s="105"/>
      <c r="H141" s="203"/>
      <c r="I141" s="105"/>
      <c r="J141" s="105"/>
      <c r="K141" s="112"/>
      <c r="L141" s="116">
        <f t="shared" si="45"/>
        <v>0</v>
      </c>
      <c r="M141" s="924">
        <f t="shared" si="52"/>
        <v>0</v>
      </c>
      <c r="N141" s="924">
        <f t="shared" si="53"/>
        <v>0</v>
      </c>
      <c r="O141" s="1008" t="str">
        <f t="shared" si="54"/>
        <v>-</v>
      </c>
      <c r="P141" s="924">
        <f t="shared" si="34"/>
        <v>0</v>
      </c>
      <c r="Q141" s="112"/>
      <c r="R141" s="924">
        <f t="shared" si="55"/>
        <v>0</v>
      </c>
      <c r="S141" s="924">
        <f t="shared" si="56"/>
        <v>0</v>
      </c>
      <c r="T141" s="924">
        <f t="shared" si="57"/>
        <v>0</v>
      </c>
      <c r="U141" s="924">
        <f t="shared" si="50"/>
        <v>0</v>
      </c>
      <c r="V141" s="924">
        <f t="shared" si="50"/>
        <v>0</v>
      </c>
      <c r="W141" s="924">
        <f t="shared" si="50"/>
        <v>0</v>
      </c>
      <c r="X141" s="924">
        <f t="shared" si="50"/>
        <v>0</v>
      </c>
      <c r="Y141" s="112"/>
      <c r="Z141" s="924">
        <f t="shared" si="51"/>
        <v>0</v>
      </c>
      <c r="AA141" s="924">
        <f t="shared" si="51"/>
        <v>0</v>
      </c>
      <c r="AB141" s="924">
        <f t="shared" si="51"/>
        <v>0</v>
      </c>
      <c r="AC141" s="924">
        <f t="shared" si="51"/>
        <v>0</v>
      </c>
      <c r="AD141" s="924">
        <f t="shared" si="51"/>
        <v>0</v>
      </c>
      <c r="AE141" s="1231">
        <f t="shared" si="51"/>
        <v>0</v>
      </c>
      <c r="AF141" s="1231">
        <f t="shared" si="51"/>
        <v>0</v>
      </c>
      <c r="AH141" s="65"/>
    </row>
    <row r="142" spans="2:34" x14ac:dyDescent="0.3">
      <c r="B142" s="61"/>
      <c r="C142" s="114"/>
      <c r="D142" s="267"/>
      <c r="E142" s="267"/>
      <c r="F142" s="355"/>
      <c r="G142" s="105"/>
      <c r="H142" s="203"/>
      <c r="I142" s="105"/>
      <c r="J142" s="105"/>
      <c r="K142" s="112"/>
      <c r="L142" s="116">
        <f t="shared" si="45"/>
        <v>0</v>
      </c>
      <c r="M142" s="924">
        <f t="shared" si="52"/>
        <v>0</v>
      </c>
      <c r="N142" s="924">
        <f t="shared" si="53"/>
        <v>0</v>
      </c>
      <c r="O142" s="1008" t="str">
        <f t="shared" si="54"/>
        <v>-</v>
      </c>
      <c r="P142" s="924">
        <f t="shared" ref="P142:P146" si="58">IF(J142="geen",IF(I142&lt;$R$7,G142*H142,0),IF(I142&gt;=$R$7,0,IF((H142*G142-(R$7-I142)*N142)&lt;0,0,H142*G142-(R$7-I142)*N142)))</f>
        <v>0</v>
      </c>
      <c r="Q142" s="112"/>
      <c r="R142" s="924">
        <f t="shared" si="55"/>
        <v>0</v>
      </c>
      <c r="S142" s="924">
        <f t="shared" si="56"/>
        <v>0</v>
      </c>
      <c r="T142" s="924">
        <f t="shared" si="57"/>
        <v>0</v>
      </c>
      <c r="U142" s="924">
        <f t="shared" si="50"/>
        <v>0</v>
      </c>
      <c r="V142" s="924">
        <f t="shared" si="50"/>
        <v>0</v>
      </c>
      <c r="W142" s="924">
        <f t="shared" si="50"/>
        <v>0</v>
      </c>
      <c r="X142" s="924">
        <f t="shared" si="50"/>
        <v>0</v>
      </c>
      <c r="Y142" s="112"/>
      <c r="Z142" s="924">
        <f t="shared" si="51"/>
        <v>0</v>
      </c>
      <c r="AA142" s="924">
        <f t="shared" si="51"/>
        <v>0</v>
      </c>
      <c r="AB142" s="924">
        <f t="shared" si="51"/>
        <v>0</v>
      </c>
      <c r="AC142" s="924">
        <f t="shared" si="51"/>
        <v>0</v>
      </c>
      <c r="AD142" s="924">
        <f t="shared" si="51"/>
        <v>0</v>
      </c>
      <c r="AE142" s="1231">
        <f t="shared" si="51"/>
        <v>0</v>
      </c>
      <c r="AF142" s="1231">
        <f t="shared" si="51"/>
        <v>0</v>
      </c>
      <c r="AH142" s="65"/>
    </row>
    <row r="143" spans="2:34" x14ac:dyDescent="0.3">
      <c r="B143" s="61"/>
      <c r="C143" s="114"/>
      <c r="D143" s="267"/>
      <c r="E143" s="267"/>
      <c r="F143" s="355"/>
      <c r="G143" s="105"/>
      <c r="H143" s="203"/>
      <c r="I143" s="105"/>
      <c r="J143" s="105"/>
      <c r="K143" s="112"/>
      <c r="L143" s="116">
        <f t="shared" si="45"/>
        <v>0</v>
      </c>
      <c r="M143" s="924">
        <f t="shared" si="52"/>
        <v>0</v>
      </c>
      <c r="N143" s="924">
        <f t="shared" si="53"/>
        <v>0</v>
      </c>
      <c r="O143" s="1008" t="str">
        <f t="shared" si="54"/>
        <v>-</v>
      </c>
      <c r="P143" s="924">
        <f t="shared" si="58"/>
        <v>0</v>
      </c>
      <c r="Q143" s="112"/>
      <c r="R143" s="924">
        <f t="shared" si="55"/>
        <v>0</v>
      </c>
      <c r="S143" s="924">
        <f t="shared" si="56"/>
        <v>0</v>
      </c>
      <c r="T143" s="924">
        <f t="shared" si="57"/>
        <v>0</v>
      </c>
      <c r="U143" s="924">
        <f t="shared" si="50"/>
        <v>0</v>
      </c>
      <c r="V143" s="924">
        <f t="shared" si="50"/>
        <v>0</v>
      </c>
      <c r="W143" s="924">
        <f t="shared" si="50"/>
        <v>0</v>
      </c>
      <c r="X143" s="924">
        <f t="shared" si="50"/>
        <v>0</v>
      </c>
      <c r="Y143" s="112"/>
      <c r="Z143" s="924">
        <f t="shared" si="51"/>
        <v>0</v>
      </c>
      <c r="AA143" s="924">
        <f t="shared" si="51"/>
        <v>0</v>
      </c>
      <c r="AB143" s="924">
        <f t="shared" si="51"/>
        <v>0</v>
      </c>
      <c r="AC143" s="924">
        <f t="shared" si="51"/>
        <v>0</v>
      </c>
      <c r="AD143" s="924">
        <f t="shared" si="51"/>
        <v>0</v>
      </c>
      <c r="AE143" s="1231">
        <f t="shared" si="51"/>
        <v>0</v>
      </c>
      <c r="AF143" s="1231">
        <f t="shared" si="51"/>
        <v>0</v>
      </c>
      <c r="AH143" s="65"/>
    </row>
    <row r="144" spans="2:34" x14ac:dyDescent="0.3">
      <c r="B144" s="61"/>
      <c r="C144" s="114"/>
      <c r="D144" s="267"/>
      <c r="E144" s="267"/>
      <c r="F144" s="355"/>
      <c r="G144" s="105"/>
      <c r="H144" s="203"/>
      <c r="I144" s="105"/>
      <c r="J144" s="105"/>
      <c r="K144" s="112"/>
      <c r="L144" s="116">
        <f t="shared" si="45"/>
        <v>0</v>
      </c>
      <c r="M144" s="924">
        <f t="shared" si="52"/>
        <v>0</v>
      </c>
      <c r="N144" s="924">
        <f t="shared" si="53"/>
        <v>0</v>
      </c>
      <c r="O144" s="1008" t="str">
        <f t="shared" si="54"/>
        <v>-</v>
      </c>
      <c r="P144" s="924">
        <f t="shared" si="58"/>
        <v>0</v>
      </c>
      <c r="Q144" s="112"/>
      <c r="R144" s="924">
        <f t="shared" si="55"/>
        <v>0</v>
      </c>
      <c r="S144" s="924">
        <f t="shared" si="56"/>
        <v>0</v>
      </c>
      <c r="T144" s="924">
        <f t="shared" si="57"/>
        <v>0</v>
      </c>
      <c r="U144" s="924">
        <f t="shared" si="50"/>
        <v>0</v>
      </c>
      <c r="V144" s="924">
        <f t="shared" si="50"/>
        <v>0</v>
      </c>
      <c r="W144" s="924">
        <f t="shared" si="50"/>
        <v>0</v>
      </c>
      <c r="X144" s="924">
        <f t="shared" si="50"/>
        <v>0</v>
      </c>
      <c r="Y144" s="112"/>
      <c r="Z144" s="924">
        <f t="shared" si="51"/>
        <v>0</v>
      </c>
      <c r="AA144" s="924">
        <f t="shared" si="51"/>
        <v>0</v>
      </c>
      <c r="AB144" s="924">
        <f t="shared" si="51"/>
        <v>0</v>
      </c>
      <c r="AC144" s="924">
        <f t="shared" si="51"/>
        <v>0</v>
      </c>
      <c r="AD144" s="924">
        <f t="shared" si="51"/>
        <v>0</v>
      </c>
      <c r="AE144" s="1231">
        <f t="shared" si="51"/>
        <v>0</v>
      </c>
      <c r="AF144" s="1231">
        <f t="shared" si="51"/>
        <v>0</v>
      </c>
      <c r="AH144" s="65"/>
    </row>
    <row r="145" spans="2:34" x14ac:dyDescent="0.3">
      <c r="B145" s="61"/>
      <c r="C145" s="114"/>
      <c r="D145" s="267"/>
      <c r="E145" s="267"/>
      <c r="F145" s="355"/>
      <c r="G145" s="105"/>
      <c r="H145" s="203"/>
      <c r="I145" s="105"/>
      <c r="J145" s="105"/>
      <c r="K145" s="112"/>
      <c r="L145" s="116">
        <f t="shared" si="45"/>
        <v>0</v>
      </c>
      <c r="M145" s="924">
        <f t="shared" si="52"/>
        <v>0</v>
      </c>
      <c r="N145" s="924">
        <f t="shared" si="53"/>
        <v>0</v>
      </c>
      <c r="O145" s="1008" t="str">
        <f t="shared" si="54"/>
        <v>-</v>
      </c>
      <c r="P145" s="924">
        <f t="shared" si="58"/>
        <v>0</v>
      </c>
      <c r="Q145" s="112"/>
      <c r="R145" s="924">
        <f t="shared" si="55"/>
        <v>0</v>
      </c>
      <c r="S145" s="924">
        <f t="shared" si="56"/>
        <v>0</v>
      </c>
      <c r="T145" s="924">
        <f t="shared" si="57"/>
        <v>0</v>
      </c>
      <c r="U145" s="924">
        <f t="shared" si="50"/>
        <v>0</v>
      </c>
      <c r="V145" s="924">
        <f t="shared" si="50"/>
        <v>0</v>
      </c>
      <c r="W145" s="924">
        <f t="shared" si="50"/>
        <v>0</v>
      </c>
      <c r="X145" s="924">
        <f t="shared" si="50"/>
        <v>0</v>
      </c>
      <c r="Y145" s="112"/>
      <c r="Z145" s="924">
        <f t="shared" si="51"/>
        <v>0</v>
      </c>
      <c r="AA145" s="924">
        <f t="shared" si="51"/>
        <v>0</v>
      </c>
      <c r="AB145" s="924">
        <f t="shared" si="51"/>
        <v>0</v>
      </c>
      <c r="AC145" s="924">
        <f t="shared" si="51"/>
        <v>0</v>
      </c>
      <c r="AD145" s="924">
        <f t="shared" si="51"/>
        <v>0</v>
      </c>
      <c r="AE145" s="1231">
        <f t="shared" si="51"/>
        <v>0</v>
      </c>
      <c r="AF145" s="1231">
        <f t="shared" si="51"/>
        <v>0</v>
      </c>
      <c r="AH145" s="65"/>
    </row>
    <row r="146" spans="2:34" x14ac:dyDescent="0.3">
      <c r="B146" s="61"/>
      <c r="C146" s="114"/>
      <c r="D146" s="267"/>
      <c r="E146" s="267"/>
      <c r="F146" s="355"/>
      <c r="G146" s="105"/>
      <c r="H146" s="203"/>
      <c r="I146" s="105"/>
      <c r="J146" s="105"/>
      <c r="K146" s="112"/>
      <c r="L146" s="116">
        <f>IF(J146="geen",9999999999,J146)</f>
        <v>0</v>
      </c>
      <c r="M146" s="924">
        <f>G146*H146</f>
        <v>0</v>
      </c>
      <c r="N146" s="924">
        <f>IF(G146=0,0,(G146*H146)/L146)</f>
        <v>0</v>
      </c>
      <c r="O146" s="1008" t="str">
        <f>IF(L146=0,"-",(IF(L146&gt;3000,"-",I146+L146-1)))</f>
        <v>-</v>
      </c>
      <c r="P146" s="924">
        <f t="shared" si="58"/>
        <v>0</v>
      </c>
      <c r="Q146" s="112"/>
      <c r="R146" s="924">
        <f t="shared" si="55"/>
        <v>0</v>
      </c>
      <c r="S146" s="924">
        <f t="shared" si="56"/>
        <v>0</v>
      </c>
      <c r="T146" s="924">
        <f t="shared" si="57"/>
        <v>0</v>
      </c>
      <c r="U146" s="924">
        <f>(IF(U$7&lt;$I146,0,IF($O146&lt;=U$7-1,0,$N146)))</f>
        <v>0</v>
      </c>
      <c r="V146" s="924">
        <f>(IF(V$7&lt;$I146,0,IF($O146&lt;=V$7-1,0,$N146)))</f>
        <v>0</v>
      </c>
      <c r="W146" s="924">
        <f>(IF(W$7&lt;$I146,0,IF($O146&lt;=W$7-1,0,$N146)))</f>
        <v>0</v>
      </c>
      <c r="X146" s="924">
        <f>(IF(X$7&lt;$I146,0,IF($O146&lt;=X$7-1,0,$N146)))</f>
        <v>0</v>
      </c>
      <c r="Y146" s="112"/>
      <c r="Z146" s="924">
        <f t="shared" ref="Z146:AF146" si="59">IF(Z$7=$I146,($G146*$H146),0)</f>
        <v>0</v>
      </c>
      <c r="AA146" s="924">
        <f t="shared" si="59"/>
        <v>0</v>
      </c>
      <c r="AB146" s="924">
        <f t="shared" si="59"/>
        <v>0</v>
      </c>
      <c r="AC146" s="924">
        <f t="shared" si="59"/>
        <v>0</v>
      </c>
      <c r="AD146" s="924">
        <f t="shared" si="59"/>
        <v>0</v>
      </c>
      <c r="AE146" s="1231">
        <f t="shared" si="59"/>
        <v>0</v>
      </c>
      <c r="AF146" s="1231">
        <f t="shared" si="59"/>
        <v>0</v>
      </c>
      <c r="AH146" s="65"/>
    </row>
    <row r="147" spans="2:34" x14ac:dyDescent="0.3">
      <c r="B147" s="61"/>
      <c r="C147" s="169"/>
      <c r="D147" s="250"/>
      <c r="E147" s="250"/>
      <c r="F147" s="170"/>
      <c r="G147" s="170"/>
      <c r="H147" s="170"/>
      <c r="I147" s="170"/>
      <c r="J147" s="170"/>
      <c r="K147" s="121"/>
      <c r="L147" s="121"/>
      <c r="M147" s="121"/>
      <c r="N147" s="121"/>
      <c r="O147" s="121"/>
      <c r="P147" s="121"/>
      <c r="Q147" s="121"/>
      <c r="R147" s="121"/>
      <c r="S147" s="121"/>
      <c r="T147" s="121"/>
      <c r="U147" s="121"/>
      <c r="V147" s="121"/>
      <c r="W147" s="121"/>
      <c r="X147" s="121"/>
      <c r="Y147" s="121"/>
      <c r="Z147" s="121"/>
      <c r="AA147" s="121"/>
      <c r="AB147" s="121"/>
      <c r="AC147" s="121"/>
      <c r="AD147" s="121"/>
      <c r="AE147" s="1232"/>
      <c r="AF147" s="1232"/>
      <c r="AH147" s="65"/>
    </row>
    <row r="148" spans="2:34" x14ac:dyDescent="0.3">
      <c r="B148" s="61"/>
      <c r="C148" s="62"/>
      <c r="D148" s="78"/>
      <c r="E148" s="78"/>
      <c r="F148" s="79"/>
      <c r="G148" s="79"/>
      <c r="H148" s="79"/>
      <c r="I148" s="79"/>
      <c r="J148" s="79"/>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5"/>
    </row>
    <row r="149" spans="2:34" x14ac:dyDescent="0.3">
      <c r="B149" s="61"/>
      <c r="C149" s="62"/>
      <c r="D149" s="78"/>
      <c r="E149" s="78"/>
      <c r="F149" s="79"/>
      <c r="G149" s="79"/>
      <c r="H149" s="79"/>
      <c r="I149" s="79"/>
      <c r="J149" s="79"/>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5"/>
    </row>
    <row r="150" spans="2:34" x14ac:dyDescent="0.3">
      <c r="B150" s="80"/>
      <c r="C150" s="81"/>
      <c r="D150" s="82"/>
      <c r="E150" s="82"/>
      <c r="F150" s="161"/>
      <c r="G150" s="161"/>
      <c r="H150" s="161"/>
      <c r="I150" s="161"/>
      <c r="J150" s="16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4"/>
    </row>
  </sheetData>
  <sheetProtection algorithmName="SHA-512" hashValue="8jlQ7EFpGKnwKYpCfmg7xinznDre+IMI5c8Dki42vWlpYLmJmYbsvh7hA1S1q4sBon4M9xCt6MFwgqu2WJWB3w==" saltValue="jMYyjJev2bkPgHQaf+SU/g==" spinCount="100000" sheet="1" objects="1" scenarios="1"/>
  <phoneticPr fontId="0" type="noConversion"/>
  <dataValidations count="2">
    <dataValidation type="list" allowBlank="1" showInputMessage="1" showErrorMessage="1" sqref="J13:J146" xr:uid="{00000000-0002-0000-0800-000000000000}">
      <formula1>"geen,1,2,3,4,5,6,7,8,9,10,11,12,13,14,15,16,17,18,19,20,21,22,23,24,25,26,27,28,29,30,31,32,33,34,35,36,37,38,39,40,41,42,43,44,45,46,47,48,49,50"</formula1>
    </dataValidation>
    <dataValidation type="list" allowBlank="1" showInputMessage="1" showErrorMessage="1" sqref="D13:D146" xr:uid="{00000000-0002-0000-0800-000001000000}">
      <formula1>$AP$13:$AP$18</formula1>
    </dataValidation>
  </dataValidations>
  <pageMargins left="0.78740157480314965" right="0.78740157480314965" top="0.98425196850393704" bottom="0.98425196850393704" header="0.51181102362204722" footer="0.51181102362204722"/>
  <pageSetup paperSize="9" scale="46" orientation="landscape" r:id="rId1"/>
  <headerFooter alignWithMargins="0">
    <oddHeader>&amp;L&amp;"Arial,Vet"&amp;F&amp;R&amp;"Arial,Vet"&amp;A</oddHeader>
    <oddFooter>&amp;L&amp;"Arial,Vet"PO-Raad&amp;C&amp;"Arial,Vet"&amp;D&amp;R&amp;"Arial,Vet"pagina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3" ma:contentTypeDescription="Een nieuw document maken." ma:contentTypeScope="" ma:versionID="18bbaa7a891f7ecb0bb687199718fcb3">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0315b2f848482936cfe1e9624249ccdf"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B628FC-803E-41E1-A690-ED4AF65309E6}"/>
</file>

<file path=customXml/itemProps2.xml><?xml version="1.0" encoding="utf-8"?>
<ds:datastoreItem xmlns:ds="http://schemas.openxmlformats.org/officeDocument/2006/customXml" ds:itemID="{0C461191-BDA9-4433-A90E-16229CD07472}"/>
</file>

<file path=customXml/itemProps3.xml><?xml version="1.0" encoding="utf-8"?>
<ds:datastoreItem xmlns:ds="http://schemas.openxmlformats.org/officeDocument/2006/customXml" ds:itemID="{768BE596-A501-420D-B0F4-703664AF71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31</vt:i4>
      </vt:variant>
    </vt:vector>
  </HeadingPairs>
  <TitlesOfParts>
    <vt:vector size="50"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saltab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saltab!Afdrukbereik</vt:lpstr>
      <vt:lpstr>som!Afdrukbereik</vt:lpstr>
      <vt:lpstr>tab!Afdrukbereik</vt:lpstr>
      <vt:lpstr>toel!Afdrukbereik</vt:lpstr>
      <vt:lpstr>groepenleerlingennu</vt:lpstr>
      <vt:lpstr>materieel2020</vt:lpstr>
      <vt:lpstr>materieel2021</vt:lpstr>
      <vt:lpstr>materieel2022</vt:lpstr>
      <vt:lpstr>regels2019</vt:lpstr>
      <vt:lpstr>regels2020</vt:lpstr>
      <vt:lpstr>salaris2019</vt:lpstr>
      <vt:lpstr>salaris2020</vt:lpstr>
      <vt:lpstr>salaris2021</vt:lpstr>
      <vt:lpstr>schaal2019</vt:lpstr>
      <vt:lpstr>schaal2020</vt:lpstr>
      <vt:lpstr>vloeroppervlaknu</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geld 2007</dc:title>
  <dc:creator>Reinier Goedhart / Bé Keizer</dc:creator>
  <cp:lastModifiedBy>Frank Mullaart</cp:lastModifiedBy>
  <cp:lastPrinted>2021-06-15T13:08:57Z</cp:lastPrinted>
  <dcterms:created xsi:type="dcterms:W3CDTF">2002-03-02T17:48:17Z</dcterms:created>
  <dcterms:modified xsi:type="dcterms:W3CDTF">2021-12-14T09:04:40Z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ies>
</file>